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70" windowWidth="14055" windowHeight="4050" firstSheet="1" activeTab="6"/>
  </bookViews>
  <sheets>
    <sheet name="Bang can doi KT" sheetId="1" r:id="rId1"/>
    <sheet name="Bao cao KQKD" sheetId="2" r:id="rId2"/>
    <sheet name="Các chỉ tiêu" sheetId="3" r:id="rId3"/>
    <sheet name="Tổng Hợp" sheetId="4" r:id="rId4"/>
    <sheet name="Tổng hợp riêng" sheetId="5" r:id="rId5"/>
    <sheet name="Tong hop" sheetId="6" r:id="rId6"/>
    <sheet name="Hạn mức 2014" sheetId="7" r:id="rId7"/>
    <sheet name="Lưu ý" sheetId="8" r:id="rId8"/>
  </sheets>
  <definedNames/>
  <calcPr fullCalcOnLoad="1"/>
</workbook>
</file>

<file path=xl/sharedStrings.xml><?xml version="1.0" encoding="utf-8"?>
<sst xmlns="http://schemas.openxmlformats.org/spreadsheetml/2006/main" count="376" uniqueCount="302">
  <si>
    <t>BẢNG CÂN ĐỐI KẾ TOÁN</t>
  </si>
  <si>
    <t>Cân đối</t>
  </si>
  <si>
    <t>TÀI SẢN</t>
  </si>
  <si>
    <t>A.</t>
  </si>
  <si>
    <t>TÀI SẢN LƯU ĐỘNG VÀ ĐẦU TƯ NGẮN HẠN</t>
  </si>
  <si>
    <t>1.</t>
  </si>
  <si>
    <t>Tiền</t>
  </si>
  <si>
    <t>1. Tiền mặt tại quỹ</t>
  </si>
  <si>
    <t>2. Tiền gửi Ngân hàng</t>
  </si>
  <si>
    <t>2.</t>
  </si>
  <si>
    <t>Các khoản phải thu</t>
  </si>
  <si>
    <t>1. Các khoản phải thu của Khách hàng</t>
  </si>
  <si>
    <t>2. Trả trước cho người khác</t>
  </si>
  <si>
    <t>3. Thuế GTGT được khấu trừ</t>
  </si>
  <si>
    <t>4. Phải thu nội bộ</t>
  </si>
  <si>
    <t>5. Các khoản phải thu khác</t>
  </si>
  <si>
    <t>6. Dự phòng phải thu khó đòi</t>
  </si>
  <si>
    <t>3.</t>
  </si>
  <si>
    <t>Hàng tồn kho</t>
  </si>
  <si>
    <t>1. Nguyên vật liệu tồn kho</t>
  </si>
  <si>
    <t>2. Công cụ dụng cụ trong kho</t>
  </si>
  <si>
    <t>3. Chi phí sản xuất - KD dở dang</t>
  </si>
  <si>
    <t>4. Thành phẩm tồn kho</t>
  </si>
  <si>
    <t>5. Hàng hoá tồn kho</t>
  </si>
  <si>
    <t>6. Hàng hoá gửi bán</t>
  </si>
  <si>
    <t>4.</t>
  </si>
  <si>
    <t>Tài sản lưu động khác</t>
  </si>
  <si>
    <t>1. Tạm ứng</t>
  </si>
  <si>
    <t>2. Chi Phí chờ kết chuyển</t>
  </si>
  <si>
    <t>B.</t>
  </si>
  <si>
    <t>TÀI SẢN CỐ ĐỊNH VÀ 
ĐẦU TƯ DÀI HẠN</t>
  </si>
  <si>
    <t>I.</t>
  </si>
  <si>
    <t>Tài sản cố định</t>
  </si>
  <si>
    <t>1. Tài sản cố định hữu hình</t>
  </si>
  <si>
    <t>Nguyên giá</t>
  </si>
  <si>
    <t>Khấu hao</t>
  </si>
  <si>
    <t>2. Tài sản cố định thuê tài chính</t>
  </si>
  <si>
    <t>Khấu hao (không trích, trả phí)</t>
  </si>
  <si>
    <t>3. Tài sản cố định vô hình</t>
  </si>
  <si>
    <t>4. Công cụ, dụng cụ</t>
  </si>
  <si>
    <t>II.</t>
  </si>
  <si>
    <t>Chi phí trả trước dài hạn</t>
  </si>
  <si>
    <t>III.</t>
  </si>
  <si>
    <t>Đầu tư dài hạn</t>
  </si>
  <si>
    <t>IV</t>
  </si>
  <si>
    <t>Chi phí đầu tư XD dở dang</t>
  </si>
  <si>
    <t>Tổng cộng tài sản</t>
  </si>
  <si>
    <t>NGUỒN VỐN</t>
  </si>
  <si>
    <t>NỢ PHẢI TRẢ</t>
  </si>
  <si>
    <t>Nợ ngắn hạn:</t>
  </si>
  <si>
    <t>1. Vay ngắn hạn Ngân hàng</t>
  </si>
  <si>
    <t>2. Vay ngắn hạn cá nhân</t>
  </si>
  <si>
    <t>3. Nợ dài hạn đến hạn trả</t>
  </si>
  <si>
    <t>4. Các khoản phải trả người bán</t>
  </si>
  <si>
    <t>5. Người mua trả tiền trước</t>
  </si>
  <si>
    <t>6. Thuế và các khoản phải nộp NN</t>
  </si>
  <si>
    <t>7. Phải trả Công nhân viên</t>
  </si>
  <si>
    <t>8. Phải trả cho các đơn vị nội bộ</t>
  </si>
  <si>
    <t>9. Các khoản phải trả phải nộp khác</t>
  </si>
  <si>
    <t>Nợ dài hạn</t>
  </si>
  <si>
    <t>Vay dài hạn</t>
  </si>
  <si>
    <t>Vay khác</t>
  </si>
  <si>
    <t>Nợ khác</t>
  </si>
  <si>
    <t>NGUỒN VỐN CHỦ SỞ HỮU</t>
  </si>
  <si>
    <t>1. Nguồn vốn kinh doanh</t>
  </si>
  <si>
    <t>2. Thặng dư vốn cổ phần</t>
  </si>
  <si>
    <t>2. Chênh lệch đánh giá lại tài sản</t>
  </si>
  <si>
    <t>3. Quỹ đầu tư phát triển</t>
  </si>
  <si>
    <t>4. Quỹ dự phòng tài chính</t>
  </si>
  <si>
    <t>5. Quỹ trợ cấp mất việc</t>
  </si>
  <si>
    <t>6. Quỹ khen thưởng, phúc lợi</t>
  </si>
  <si>
    <t>7. Nguồn vốn đầu tư XDCB</t>
  </si>
  <si>
    <t>8. Lợi nhuận chưa phân phối</t>
  </si>
  <si>
    <t>Tổng công nguồn vốn</t>
  </si>
  <si>
    <t>Doanh thu thuần</t>
  </si>
  <si>
    <t>Các khoản giảm trừ</t>
  </si>
  <si>
    <t>Giá vốn hàng bán</t>
  </si>
  <si>
    <t>Khấu hao</t>
  </si>
  <si>
    <t>Lợi nhuận gộp tử bán hàng</t>
  </si>
  <si>
    <t>Chi phí bán hàng quản lý</t>
  </si>
  <si>
    <t>Thu nhập từ hoạt động KD</t>
  </si>
  <si>
    <t>Lợi nhuận từ HĐ TC</t>
  </si>
  <si>
    <t>Thu nhập từ HĐ Tài chính</t>
  </si>
  <si>
    <t>Chi phí HĐ Tài chính</t>
  </si>
  <si>
    <t>Lợi nhuận từ HĐ Bất thường</t>
  </si>
  <si>
    <t>Thu nhập từ HĐ bất thường</t>
  </si>
  <si>
    <t>Chi phí HĐ bất thường</t>
  </si>
  <si>
    <t>Lợi nhuận ròng trước thuế</t>
  </si>
  <si>
    <t>Thuế phải nộp TNDN</t>
  </si>
  <si>
    <t>Lợi nhuận ròng sau thuế</t>
  </si>
  <si>
    <t>Lợi nhuận đem chia</t>
  </si>
  <si>
    <t>Thay đổi lợi nhuận giữ lại</t>
  </si>
  <si>
    <t>Thay đổi Vốn chủ sở hữu</t>
  </si>
  <si>
    <t>Thay đổi Net Worth</t>
  </si>
  <si>
    <t>PHÂN TÍCH TÀI CHÍNH</t>
  </si>
  <si>
    <t>Tính toán</t>
  </si>
  <si>
    <t>ROE</t>
  </si>
  <si>
    <t>Lợi nhuận thuần sau thuế / Vốn CSH</t>
  </si>
  <si>
    <t>ROS x ATO x ALEV</t>
  </si>
  <si>
    <t>Đánh giá hiệu quả hoạt động</t>
  </si>
  <si>
    <t>ROS (Tỷ suất LN/D.thu)</t>
  </si>
  <si>
    <t>Lợi nhuận sau thuế/ Tổng DT</t>
  </si>
  <si>
    <t>% thay đổi doanh thu</t>
  </si>
  <si>
    <t>Tỷ lệ giá vốn (%)</t>
  </si>
  <si>
    <t>Giá vốn hàng bán / Doanh thu bán hàng</t>
  </si>
  <si>
    <t>Tỷ lệ lợi nhuận gộp (%)</t>
  </si>
  <si>
    <t>Lợi nhuận gộp / Doanh thu</t>
  </si>
  <si>
    <t>Tỷ lệ chi phí bán hàng quản lý (%)</t>
  </si>
  <si>
    <t>LN (trước CP tài chính và thuế)/doanh thu</t>
  </si>
  <si>
    <t>Chỉ số về hiệu quả quản lý tài sản</t>
  </si>
  <si>
    <t>ATO (Tỷ lệ tài sản / tổng doanh thu)</t>
  </si>
  <si>
    <t>Tổng tài sản / Tổng doanh thu</t>
  </si>
  <si>
    <t>Vốn lưu động ròng</t>
  </si>
  <si>
    <t>(VCSH + vay dài hạn) - (TSCĐ + Đtdài hạn + ĐT XDCB dd)</t>
  </si>
  <si>
    <t>Tình trạng chiếm dụng vốn</t>
  </si>
  <si>
    <t>Phải trả Khách hàng - Phải thu KH</t>
  </si>
  <si>
    <t>Số ngày các khoản phải thu</t>
  </si>
  <si>
    <t>Phải thu * 360 / Doanh thu</t>
  </si>
  <si>
    <t>Số ngày hàng tồn kho</t>
  </si>
  <si>
    <t>Tồn kho * 360/Giá vốn(không gồm khấu hao)</t>
  </si>
  <si>
    <t>Số ngày các khoản phải trả</t>
  </si>
  <si>
    <t>Phải trả *360 /Giá vốn(không gồm khấu hao)</t>
  </si>
  <si>
    <t>Chu kỳ kinh doanh</t>
  </si>
  <si>
    <t>Chỉ số về hiệu quả quản lý nợ</t>
  </si>
  <si>
    <t>ALEV</t>
  </si>
  <si>
    <t>Tổng tài sản/ vốn chủ sở hữu</t>
  </si>
  <si>
    <t>Chỉ tiêu thanh toán hiện thời</t>
  </si>
  <si>
    <t>Tiền các loại/ Nợ phải trả ngắn hạn</t>
  </si>
  <si>
    <t>Chỉ tiêu thanh toán nhanh</t>
  </si>
  <si>
    <t>Tiền mặt + Phải thu/Nợ phải trả ngắn hạn</t>
  </si>
  <si>
    <t>Chỉ tiêu thanh toán ngắn hạn</t>
  </si>
  <si>
    <t>TS lưu động/ Nợ phải trả ngắn hạn</t>
  </si>
  <si>
    <t>Tỷ lệ đòn bẩy</t>
  </si>
  <si>
    <t>Tổng nợ/Tổng tài sản</t>
  </si>
  <si>
    <t>Tỷ lệ vốn chủ sở hữu</t>
  </si>
  <si>
    <t>Vốn chủ sở hữu / Tổng tài sản</t>
  </si>
  <si>
    <t>Tỷ lệ Vay ngắn hạn/Tổng tài sản</t>
  </si>
  <si>
    <t>Tỷ lệ vay dài hạn / Tổng tài sản</t>
  </si>
  <si>
    <t>(Vay dài hạn + Vốn CSH)/ TSCĐ</t>
  </si>
  <si>
    <t>TÌNH HÌNH HOẠT ĐỘNGTÀI CHÍNH</t>
  </si>
  <si>
    <t>Chỉ tiêu</t>
  </si>
  <si>
    <t>Các chỉ tiêu chung</t>
  </si>
  <si>
    <t>Các khoản phải trả</t>
  </si>
  <si>
    <t>Doanh thu</t>
  </si>
  <si>
    <t>Lợi nhuận</t>
  </si>
  <si>
    <t>Vay ngắn hạn và nợ dài hạn đến hạn</t>
  </si>
  <si>
    <t>Đầu tư cơ bản dở dang</t>
  </si>
  <si>
    <t>Nguồn vốn chủ sở hữu</t>
  </si>
  <si>
    <t>ROE (L/N sau thuế/ VCSH)</t>
  </si>
  <si>
    <t>Chỉ số về hiệu quả quản lý tài sản</t>
  </si>
  <si>
    <t>ATO (Tỷ lệ tài sản / Doanh thu)</t>
  </si>
  <si>
    <t>Tổng tài sản</t>
  </si>
  <si>
    <t>ALEV (Tổng TS/ VCSH)</t>
  </si>
  <si>
    <t>Tỷ lệ đòn bẩy(Tổng nợ/Tổng tài sản)</t>
  </si>
  <si>
    <t>Tỷ lệ vốn chủ sở hữu/Tổng tài sản</t>
  </si>
  <si>
    <t>Tỷ lệ vay dài hạn/Tổng tài sản</t>
  </si>
  <si>
    <t>Doanh thu</t>
  </si>
  <si>
    <t>Lợi nhuận</t>
  </si>
  <si>
    <t>Vốn CSH</t>
  </si>
  <si>
    <t>Doanh thu thuần</t>
  </si>
  <si>
    <t>% thay đổi doanh thu</t>
  </si>
  <si>
    <t>Khả năng sinh lời</t>
  </si>
  <si>
    <t>Lợi nhuận trước thuế</t>
  </si>
  <si>
    <t>Lợi nhuận ròng</t>
  </si>
  <si>
    <t>Tỷ suất LN (sau thuế)/doanh thu (%)</t>
  </si>
  <si>
    <t>Tỷ suất LN (sau thuế)/Vốn CSH (%)</t>
  </si>
  <si>
    <t>Chỉ tiêu về khả năng thanh toán</t>
  </si>
  <si>
    <t>Tiền mặt, tiền gửi ngân hàng</t>
  </si>
  <si>
    <t>Các khoản phải thu</t>
  </si>
  <si>
    <t>Các khoản phải trả</t>
  </si>
  <si>
    <t>Hàng tồn kho</t>
  </si>
  <si>
    <t>Vay ngắn hạn và nợ dài hạn đến hạn</t>
  </si>
  <si>
    <t>Vay dài hạn</t>
  </si>
  <si>
    <t>Khả năng thanh toán ngắn hạn</t>
  </si>
  <si>
    <t>Khả năng thanh toán nhanh</t>
  </si>
  <si>
    <t>Khả năng thanh toán tức thời</t>
  </si>
  <si>
    <t>ROS (Tỷ suất LN/D.thu)</t>
  </si>
  <si>
    <t>Tỷ lệ giá vốn (%)</t>
  </si>
  <si>
    <t>Tỷ lệ lợi nhuận gộp (%)</t>
  </si>
  <si>
    <t>Tỷ lệ chi phí bán hàng quản lý (%)</t>
  </si>
  <si>
    <t>ATO (Tỷ lệ tài sản / Doanh thu)</t>
  </si>
  <si>
    <t>Tổng tài sản</t>
  </si>
  <si>
    <t>Tài sản cố định</t>
  </si>
  <si>
    <t>Vốn lưu động ròng</t>
  </si>
  <si>
    <t>Tình trạng chiếm dụng vốn</t>
  </si>
  <si>
    <t>Số ngày các khoản phải thu</t>
  </si>
  <si>
    <t>Số ngày hàng tồn kho</t>
  </si>
  <si>
    <t>Số ngày các khoản phải trả</t>
  </si>
  <si>
    <t>Chỉ tiêu</t>
  </si>
  <si>
    <t>Kết quả SXKD</t>
  </si>
  <si>
    <t>Tổng doanh thu</t>
  </si>
  <si>
    <t>Tổng nguồn vốn</t>
  </si>
  <si>
    <t>Vốn chủ sở hữu</t>
  </si>
  <si>
    <t>Khả năng sinh lời</t>
  </si>
  <si>
    <t>Lợi nhuận trước thuế</t>
  </si>
  <si>
    <t>Lợi nhuận ròng</t>
  </si>
  <si>
    <t>Tỷ suất LNR/Doanh thu</t>
  </si>
  <si>
    <t>Tỷ suất LNR/Vốn CSH</t>
  </si>
  <si>
    <t>Chỉ tiêu khả năng thanh toán</t>
  </si>
  <si>
    <t>Tiền</t>
  </si>
  <si>
    <t>Các khoản phải thu</t>
  </si>
  <si>
    <t>Nợ ngắn hạn</t>
  </si>
  <si>
    <t>Khả năng thanh toán ngắn hạn</t>
  </si>
  <si>
    <t>Khả năng thanh toán nhanh</t>
  </si>
  <si>
    <t>Khả năng thanh toán tức thời</t>
  </si>
  <si>
    <t>Mức độ độc lập tài chính</t>
  </si>
  <si>
    <t>Tỷ suất tài trợ (%)</t>
  </si>
  <si>
    <t>Tỷ suất đầu tư (%)</t>
  </si>
  <si>
    <t>Mức độ bảo toàn vốn cố định</t>
  </si>
  <si>
    <t>Nguồn vốn dài hạn</t>
  </si>
  <si>
    <t>VCSH</t>
  </si>
  <si>
    <t>Vay dài hạn, ký quỹ dài hạn</t>
  </si>
  <si>
    <t>Tài sản cố định và đầu tư dài hạn</t>
  </si>
  <si>
    <t>Chênh lệch</t>
  </si>
  <si>
    <t>Mức độ bảo tồn vốn lưu động</t>
  </si>
  <si>
    <t>Nguồn vốn ngắn hạn</t>
  </si>
  <si>
    <t>Nợ khác</t>
  </si>
  <si>
    <t>Tài sản lưu động</t>
  </si>
  <si>
    <t>Hàng tồn kho</t>
  </si>
  <si>
    <t>Chu kỳ sản xuất kinh doanh</t>
  </si>
  <si>
    <t>Số ngày các khoản phải thu</t>
  </si>
  <si>
    <t>Số ngày hàng tồn kho</t>
  </si>
  <si>
    <t>Số ngày các khoản phải trả</t>
  </si>
  <si>
    <t>Vòng quay các khoản phải thu</t>
  </si>
  <si>
    <t>Vòng quay hàng tồn kho</t>
  </si>
  <si>
    <t>Chu kỳ sản xuất kinh doanh</t>
  </si>
  <si>
    <t>Tạm tính hạn mức cho Công ty EMC</t>
  </si>
  <si>
    <t>Đơn vị : đ</t>
  </si>
  <si>
    <t>Doanh thu (dự kiến bằng 80% doanh thu của EMC đề ra)</t>
  </si>
  <si>
    <t>Chí phí giá vốn không gồm khấu hao:</t>
  </si>
  <si>
    <t>Chi phí quản lý bán hàng, chi phí sản xuất, chi phí khác</t>
  </si>
  <si>
    <t>Số ngày phải thu trung bình</t>
  </si>
  <si>
    <t>Số ngày tồn kho trung bình</t>
  </si>
  <si>
    <t>Số ngày sản xuất bình quân</t>
  </si>
  <si>
    <t>Số ngày vận chuyển , bán hàng</t>
  </si>
  <si>
    <t>Số ngày phải trả</t>
  </si>
  <si>
    <t>Tỷ lệ KH ứng trước</t>
  </si>
  <si>
    <t>Theo đó:</t>
  </si>
  <si>
    <t>Tổng chi phí (không gồm khấu hao)</t>
  </si>
  <si>
    <t>Chu kỳ kinh doanh = Phải thu + Tồn kho + số ngày sản xuất
 + số ngày vận chuyển và bán hàng</t>
  </si>
  <si>
    <t>Số vòng quay vốn lưu động trong năm</t>
  </si>
  <si>
    <t>Nhu cầu vốn lưu động cho 1 vòng 
= Tổng chi phí không gồm khấu hao / số vòng trong năm</t>
  </si>
  <si>
    <t>NGUỒN TÀI TRỢ VỐN LƯU ĐỘNG</t>
  </si>
  <si>
    <t>Vốn CSH</t>
  </si>
  <si>
    <t>Vay cá nhân</t>
  </si>
  <si>
    <t>Tài sản cố định đã hạch toán vào BCĐKT</t>
  </si>
  <si>
    <t>Tài sản cố định đang hình thành</t>
  </si>
  <si>
    <t>Vốn CSH dùng cho vốn lưu động
=Vốn CSH + Vay dài hạn - Tài sản cố định</t>
  </si>
  <si>
    <t>Vốn chiếm dụng trung bình nhà cung cấp 
= Giá vốn không gồm khấu hao /360 * Số ngày phải trả trung bình</t>
  </si>
  <si>
    <t>Tài trợ từ các tổ chức tín dụng khác</t>
  </si>
  <si>
    <t>Vốn huy động khác</t>
  </si>
  <si>
    <t>Vốn khách hàng ứng trước
=Tỷ lệ KH ứng trước* Nhu cầu vốn lưu động cho 1 vòng</t>
  </si>
  <si>
    <t>Vốn vay cần thiết</t>
  </si>
  <si>
    <t>HẠN MỨC LC</t>
  </si>
  <si>
    <t>Khoản mục</t>
  </si>
  <si>
    <t>Số tiền (VND)</t>
  </si>
  <si>
    <t>Tổng Giá vốn</t>
  </si>
  <si>
    <t>Tỷ lệ Doanh số nhập khẩu/Tổng Giá vốn</t>
  </si>
  <si>
    <t>Doanh số nhập khẩu (Chính là Doanh số mở LC)</t>
  </si>
  <si>
    <t>Số ngày trung bình từ khi mở LC đến khi thanh toán LC</t>
  </si>
  <si>
    <t>Số dư LC trung bình = Doanh số mở LC/365*Số ngày trung bình từ khi mở LC đến khi thanh toán LC</t>
  </si>
  <si>
    <t>So du LC cao nhat tai 1 thoi diem (dự kiến) 
(Dự kiến bằng 1.5 lần số dư LC trung bình)</t>
  </si>
  <si>
    <t>HẠN MỨC BẢO LÃNH</t>
  </si>
  <si>
    <t>Doanh thu dự thầu</t>
  </si>
  <si>
    <t>(80% tổng doanh thu)</t>
  </si>
  <si>
    <t>Loại BL</t>
  </si>
  <si>
    <t>Hiệu lực thư BL
(ngày)</t>
  </si>
  <si>
    <t>Tỷ lệ % doanh thu</t>
  </si>
  <si>
    <t>Nhu cầu BL</t>
  </si>
  <si>
    <t>KQ</t>
  </si>
  <si>
    <t>TSĐB</t>
  </si>
  <si>
    <t>Mức KQ</t>
  </si>
  <si>
    <t>TSĐB</t>
  </si>
  <si>
    <t>Tín chấp</t>
  </si>
  <si>
    <t>Bảo lãnh dự thầu</t>
  </si>
  <si>
    <t>Bảo lãnh thực hiện HĐ</t>
  </si>
  <si>
    <t>Bảo lãnh BH</t>
  </si>
  <si>
    <t>Bảo lãnh tiền tạm ứng</t>
  </si>
  <si>
    <t>Tổng chi phí</t>
  </si>
  <si>
    <t>Trongđó</t>
  </si>
  <si>
    <t>-        Giá vốn hàng bán (không gồm khấu hao)</t>
  </si>
  <si>
    <t>-        Chi phí quản lý bán hàng, dịch vụ khác</t>
  </si>
  <si>
    <t>-        Khấu hao dự kiến</t>
  </si>
  <si>
    <t>Lợi nhuận kế hoạch</t>
  </si>
  <si>
    <t>Thuế TNDN</t>
  </si>
  <si>
    <t>Lợi nhuận sau thuế</t>
  </si>
  <si>
    <t>Trong Sheet Bảng cân đối Kế toán: Nếu xuất hiện chữ mầu đỏ báo sai, check lại bảng cân đối TS và nguồn</t>
  </si>
  <si>
    <t>Những chữ tại ô màu đen là những ô cần điền dữ liệu</t>
  </si>
  <si>
    <t>Những ô có chữ mầu tím than thì không cần điền</t>
  </si>
  <si>
    <t>Các sheet "Các chỉ tiêu" và " tổng hợp"có đặt Pass để bảo vệ, mã là 112345678, xoá mã bằng cách vào Tool - Protection - Unprotect Sheet</t>
  </si>
  <si>
    <t>Trong trường hợp tính cho nhiều năm, thêm vào cột kế bên các cột có sẵn và copy toàn bộ công thức sang (dùng chuột để "kéo".</t>
  </si>
  <si>
    <t>Khi dùng cho tờ trình, sẽ có một số ô có giá trị bằng 0, nếu toàn bộ các năm có giá trị này mà mình không cần phân tích nên copy sang Word để sửa, tránh trường hợp sửa trực tiếp trên Excel, lần sau dùng cho Cty khác sẽ bị thiếu</t>
  </si>
  <si>
    <t>Trong bảng tính, mọi công thức cho kế quả "#DIV 0!" đều được thay thế bằng "0", khi phân tích cần để ý, tránh "quy kết" số liệu là bằng 0</t>
  </si>
  <si>
    <t>Nếu cần, các số liệu bằng 0 có thể xoá bỏ sau khi copy ra Word cho ngắn gọn nếu số liệu thấy thực sự không cần thiết.</t>
  </si>
  <si>
    <t>TÌNH HÌNH HOẠT ĐỘNG TÀI CHÍNH</t>
  </si>
  <si>
    <t>2012</t>
  </si>
  <si>
    <t>2013</t>
  </si>
  <si>
    <t>2014</t>
  </si>
  <si>
    <t>Năm 2012</t>
  </si>
  <si>
    <t>Năm 2013</t>
  </si>
  <si>
    <t>Năm 2014</t>
  </si>
  <si>
    <t xml:space="preserve">HẠN MỨC TÍN DỤNG NGẮN HẠN </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</si>
</sst>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00\)"/>
    <numFmt numFmtId="174" formatCode="#,##0.0000;\(#,##0.0000\)"/>
    <numFmt numFmtId="175" formatCode="0.0"/>
    <numFmt numFmtId="176" formatCode="0.000"/>
    <numFmt numFmtId="177" formatCode="0.0000000000000%"/>
    <numFmt numFmtId="178" formatCode="#,##0.00000;\(#,##0.00000\)"/>
    <numFmt numFmtId="179" formatCode="0.00000%"/>
    <numFmt numFmtId="180" formatCode="0.000%"/>
    <numFmt numFmtId="181" formatCode="0.0%"/>
  </numFmts>
  <fonts count="90">
    <font>
      <sz val="10"/>
      <color rgb="FF000000"/>
      <name val="Arial"/>
      <family val="2"/>
    </font>
    <font>
      <sz val="11"/>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indexed="8"/>
      <name val="Times New Roman"/>
      <family val="1"/>
    </font>
    <font>
      <b/>
      <sz val="11"/>
      <color indexed="8"/>
      <name val="Times New Roman"/>
      <family val="1"/>
    </font>
    <font>
      <b/>
      <i/>
      <sz val="12"/>
      <color indexed="8"/>
      <name val="Times New Roman"/>
      <family val="1"/>
    </font>
    <font>
      <b/>
      <sz val="10"/>
      <color indexed="8"/>
      <name val="Arial"/>
      <family val="2"/>
    </font>
    <font>
      <sz val="12"/>
      <color indexed="8"/>
      <name val="Times New Roman"/>
      <family val="1"/>
    </font>
    <font>
      <sz val="12"/>
      <color indexed="10"/>
      <name val="Times New Roman"/>
      <family val="1"/>
    </font>
    <font>
      <b/>
      <sz val="10"/>
      <color indexed="10"/>
      <name val="Arial"/>
      <family val="2"/>
    </font>
    <font>
      <b/>
      <i/>
      <sz val="12"/>
      <color indexed="10"/>
      <name val="Times New Roman"/>
      <family val="1"/>
    </font>
    <font>
      <b/>
      <i/>
      <sz val="11"/>
      <color indexed="8"/>
      <name val="Times New Roman"/>
      <family val="1"/>
    </font>
    <font>
      <b/>
      <sz val="11"/>
      <color indexed="12"/>
      <name val="Times New Roman"/>
      <family val="1"/>
    </font>
    <font>
      <b/>
      <sz val="12"/>
      <color indexed="10"/>
      <name val="Times New Roman"/>
      <family val="1"/>
    </font>
    <font>
      <b/>
      <sz val="11"/>
      <color indexed="10"/>
      <name val="Times New Roman"/>
      <family val="1"/>
    </font>
    <font>
      <b/>
      <i/>
      <u val="single"/>
      <sz val="11"/>
      <color indexed="8"/>
      <name val="Times New Roman"/>
      <family val="1"/>
    </font>
    <font>
      <sz val="11"/>
      <color indexed="8"/>
      <name val="Arial"/>
      <family val="2"/>
    </font>
    <font>
      <sz val="11"/>
      <color indexed="12"/>
      <name val="Times New Roman"/>
      <family val="1"/>
    </font>
    <font>
      <i/>
      <sz val="10"/>
      <color indexed="8"/>
      <name val="Arial"/>
      <family val="2"/>
    </font>
    <font>
      <sz val="10"/>
      <color indexed="9"/>
      <name val="Arial"/>
      <family val="2"/>
    </font>
    <font>
      <b/>
      <i/>
      <sz val="12"/>
      <color indexed="9"/>
      <name val="Times New Roman"/>
      <family val="1"/>
    </font>
    <font>
      <b/>
      <sz val="12"/>
      <color indexed="9"/>
      <name val="Times New Roman"/>
      <family val="1"/>
    </font>
    <font>
      <b/>
      <sz val="12"/>
      <color indexed="16"/>
      <name val="Times New Roman"/>
      <family val="1"/>
    </font>
    <font>
      <b/>
      <i/>
      <sz val="12"/>
      <color indexed="16"/>
      <name val="Times New Roman"/>
      <family val="1"/>
    </font>
    <font>
      <sz val="12"/>
      <color indexed="16"/>
      <name val="Times New Roman"/>
      <family val="1"/>
    </font>
    <font>
      <b/>
      <i/>
      <sz val="11"/>
      <color indexed="16"/>
      <name val="Times New Roman"/>
      <family val="1"/>
    </font>
    <font>
      <sz val="11"/>
      <color indexed="16"/>
      <name val="Times New Roman"/>
      <family val="1"/>
    </font>
    <font>
      <b/>
      <sz val="16"/>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imes New Roman"/>
      <family val="1"/>
    </font>
    <font>
      <sz val="11"/>
      <color rgb="FF000000"/>
      <name val="Times New Roman"/>
      <family val="1"/>
    </font>
    <font>
      <b/>
      <sz val="11"/>
      <color rgb="FF000000"/>
      <name val="Times New Roman"/>
      <family val="1"/>
    </font>
    <font>
      <b/>
      <i/>
      <sz val="12"/>
      <color rgb="FF000000"/>
      <name val="Times New Roman"/>
      <family val="1"/>
    </font>
    <font>
      <b/>
      <sz val="10"/>
      <color rgb="FF000000"/>
      <name val="Arial"/>
      <family val="2"/>
    </font>
    <font>
      <sz val="12"/>
      <color rgb="FF000000"/>
      <name val="Times New Roman"/>
      <family val="1"/>
    </font>
    <font>
      <sz val="12"/>
      <color rgb="FFFF0000"/>
      <name val="Times New Roman"/>
      <family val="1"/>
    </font>
    <font>
      <b/>
      <sz val="10"/>
      <color rgb="FFFF0000"/>
      <name val="Arial"/>
      <family val="2"/>
    </font>
    <font>
      <b/>
      <i/>
      <sz val="12"/>
      <color rgb="FFFF0000"/>
      <name val="Times New Roman"/>
      <family val="1"/>
    </font>
    <font>
      <b/>
      <i/>
      <sz val="11"/>
      <color rgb="FF000000"/>
      <name val="Times New Roman"/>
      <family val="1"/>
    </font>
    <font>
      <b/>
      <sz val="11"/>
      <color rgb="FF0000FF"/>
      <name val="Times New Roman"/>
      <family val="1"/>
    </font>
    <font>
      <b/>
      <sz val="12"/>
      <color rgb="FFFF0000"/>
      <name val="Times New Roman"/>
      <family val="1"/>
    </font>
    <font>
      <b/>
      <sz val="11"/>
      <color rgb="FFFF0000"/>
      <name val="Times New Roman"/>
      <family val="1"/>
    </font>
    <font>
      <b/>
      <i/>
      <u val="single"/>
      <sz val="11"/>
      <color rgb="FF000000"/>
      <name val="Times New Roman"/>
      <family val="1"/>
    </font>
    <font>
      <sz val="11"/>
      <color rgb="FF000000"/>
      <name val="Arial"/>
      <family val="2"/>
    </font>
    <font>
      <sz val="11"/>
      <color rgb="FF0000FF"/>
      <name val="Times New Roman"/>
      <family val="1"/>
    </font>
    <font>
      <i/>
      <sz val="10"/>
      <color rgb="FF000000"/>
      <name val="Arial"/>
      <family val="2"/>
    </font>
    <font>
      <sz val="10"/>
      <color theme="0"/>
      <name val="Arial"/>
      <family val="2"/>
    </font>
    <font>
      <b/>
      <i/>
      <sz val="12"/>
      <color theme="0"/>
      <name val="Times New Roman"/>
      <family val="1"/>
    </font>
    <font>
      <b/>
      <sz val="12"/>
      <color theme="0"/>
      <name val="Times New Roman"/>
      <family val="1"/>
    </font>
    <font>
      <b/>
      <sz val="12"/>
      <color rgb="FF800000"/>
      <name val="Times New Roman"/>
      <family val="1"/>
    </font>
    <font>
      <b/>
      <i/>
      <sz val="12"/>
      <color rgb="FF800000"/>
      <name val="Times New Roman"/>
      <family val="1"/>
    </font>
    <font>
      <sz val="12"/>
      <color rgb="FF800000"/>
      <name val="Times New Roman"/>
      <family val="1"/>
    </font>
    <font>
      <b/>
      <i/>
      <sz val="11"/>
      <color rgb="FF800000"/>
      <name val="Times New Roman"/>
      <family val="1"/>
    </font>
    <font>
      <sz val="11"/>
      <color rgb="FF800000"/>
      <name val="Times New Roman"/>
      <family val="1"/>
    </font>
    <font>
      <b/>
      <sz val="16"/>
      <color rgb="FF000000"/>
      <name val="Times New Roman"/>
      <family val="1"/>
    </font>
    <font>
      <b/>
      <sz val="14"/>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FFFFFF"/>
        <bgColor indexed="64"/>
      </patternFill>
    </fill>
    <fill>
      <patternFill patternType="solid">
        <fgColor rgb="FF99CC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right style="thin">
        <color rgb="FF000000"/>
      </right>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border>
    <border>
      <left/>
      <right style="thin">
        <color rgb="FF000000"/>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thin">
        <color rgb="FF000000"/>
      </left>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10">
    <xf numFmtId="0" fontId="0" fillId="0" borderId="0" xfId="0" applyAlignment="1">
      <alignment wrapText="1"/>
    </xf>
    <xf numFmtId="3" fontId="63" fillId="33" borderId="10" xfId="0" applyNumberFormat="1" applyFont="1" applyFill="1" applyBorder="1" applyAlignment="1">
      <alignment horizontal="center"/>
    </xf>
    <xf numFmtId="0" fontId="64" fillId="0" borderId="10" xfId="0" applyFont="1" applyBorder="1" applyAlignment="1">
      <alignment/>
    </xf>
    <xf numFmtId="0" fontId="65" fillId="0" borderId="10" xfId="0" applyFont="1" applyBorder="1" applyAlignment="1">
      <alignment/>
    </xf>
    <xf numFmtId="0" fontId="0" fillId="0" borderId="11" xfId="0" applyFont="1" applyBorder="1" applyAlignment="1">
      <alignment/>
    </xf>
    <xf numFmtId="0" fontId="66" fillId="0" borderId="12" xfId="0" applyFont="1" applyBorder="1" applyAlignment="1">
      <alignment/>
    </xf>
    <xf numFmtId="0" fontId="67" fillId="0" borderId="0" xfId="0" applyFont="1" applyAlignment="1">
      <alignment/>
    </xf>
    <xf numFmtId="171" fontId="0" fillId="34" borderId="13" xfId="0" applyNumberFormat="1" applyFont="1" applyFill="1" applyBorder="1" applyAlignment="1">
      <alignment/>
    </xf>
    <xf numFmtId="0" fontId="68" fillId="0" borderId="13" xfId="0" applyFont="1" applyBorder="1" applyAlignment="1">
      <alignment/>
    </xf>
    <xf numFmtId="0" fontId="65" fillId="34" borderId="10" xfId="0" applyFont="1" applyFill="1" applyBorder="1" applyAlignment="1">
      <alignment horizontal="center" vertical="center" wrapText="1"/>
    </xf>
    <xf numFmtId="9" fontId="63" fillId="33" borderId="13" xfId="0" applyNumberFormat="1" applyFont="1" applyFill="1" applyBorder="1" applyAlignment="1">
      <alignment horizontal="left"/>
    </xf>
    <xf numFmtId="171" fontId="64" fillId="34" borderId="10" xfId="0" applyNumberFormat="1" applyFont="1" applyFill="1" applyBorder="1" applyAlignment="1">
      <alignment/>
    </xf>
    <xf numFmtId="0" fontId="69" fillId="0" borderId="14" xfId="0" applyFont="1" applyBorder="1" applyAlignment="1">
      <alignment/>
    </xf>
    <xf numFmtId="2" fontId="68" fillId="0" borderId="10" xfId="0" applyNumberFormat="1" applyFont="1" applyBorder="1" applyAlignment="1">
      <alignment/>
    </xf>
    <xf numFmtId="169" fontId="68" fillId="0" borderId="10" xfId="0" applyNumberFormat="1" applyFont="1" applyBorder="1" applyAlignment="1">
      <alignment horizontal="center"/>
    </xf>
    <xf numFmtId="171" fontId="0" fillId="34" borderId="0" xfId="0" applyNumberFormat="1" applyFont="1" applyFill="1" applyAlignment="1">
      <alignment/>
    </xf>
    <xf numFmtId="0" fontId="63" fillId="33" borderId="10" xfId="0" applyFont="1" applyFill="1" applyBorder="1" applyAlignment="1">
      <alignment horizontal="center"/>
    </xf>
    <xf numFmtId="0" fontId="0" fillId="0" borderId="11" xfId="0" applyBorder="1" applyAlignment="1">
      <alignment wrapText="1"/>
    </xf>
    <xf numFmtId="10" fontId="63" fillId="33" borderId="10" xfId="0" applyNumberFormat="1" applyFont="1" applyFill="1" applyBorder="1" applyAlignment="1">
      <alignment horizontal="center"/>
    </xf>
    <xf numFmtId="171" fontId="68" fillId="0" borderId="13" xfId="0" applyNumberFormat="1" applyFont="1" applyBorder="1" applyAlignment="1">
      <alignment/>
    </xf>
    <xf numFmtId="9" fontId="63" fillId="33" borderId="13" xfId="0" applyNumberFormat="1" applyFont="1" applyFill="1" applyBorder="1" applyAlignment="1">
      <alignment horizontal="center"/>
    </xf>
    <xf numFmtId="0" fontId="65" fillId="34" borderId="10" xfId="0" applyFont="1" applyFill="1" applyBorder="1" applyAlignment="1">
      <alignment horizontal="center" vertical="center"/>
    </xf>
    <xf numFmtId="0" fontId="68" fillId="0" borderId="10" xfId="0" applyFont="1" applyBorder="1" applyAlignment="1">
      <alignment/>
    </xf>
    <xf numFmtId="0" fontId="68" fillId="0" borderId="11" xfId="0" applyFont="1" applyBorder="1" applyAlignment="1">
      <alignment/>
    </xf>
    <xf numFmtId="169" fontId="0" fillId="0" borderId="13" xfId="0" applyNumberFormat="1" applyFont="1" applyBorder="1" applyAlignment="1">
      <alignment/>
    </xf>
    <xf numFmtId="0" fontId="65" fillId="34" borderId="10" xfId="0" applyFont="1" applyFill="1" applyBorder="1" applyAlignment="1">
      <alignment horizontal="center"/>
    </xf>
    <xf numFmtId="0" fontId="64" fillId="34" borderId="10" xfId="0" applyFont="1" applyFill="1" applyBorder="1" applyAlignment="1">
      <alignment wrapText="1"/>
    </xf>
    <xf numFmtId="169" fontId="70" fillId="34" borderId="10" xfId="0" applyNumberFormat="1" applyFont="1" applyFill="1" applyBorder="1" applyAlignment="1">
      <alignment/>
    </xf>
    <xf numFmtId="0" fontId="68" fillId="0" borderId="15" xfId="0" applyFont="1" applyBorder="1" applyAlignment="1">
      <alignment/>
    </xf>
    <xf numFmtId="169" fontId="0" fillId="34" borderId="10" xfId="0" applyNumberFormat="1" applyFont="1" applyFill="1" applyBorder="1" applyAlignment="1">
      <alignment/>
    </xf>
    <xf numFmtId="0" fontId="71" fillId="0" borderId="0" xfId="0" applyFont="1" applyAlignment="1">
      <alignment/>
    </xf>
    <xf numFmtId="3" fontId="63" fillId="0" borderId="10" xfId="0" applyNumberFormat="1" applyFont="1" applyBorder="1" applyAlignment="1">
      <alignment/>
    </xf>
    <xf numFmtId="0" fontId="65" fillId="34" borderId="16" xfId="0" applyFont="1" applyFill="1" applyBorder="1" applyAlignment="1">
      <alignment/>
    </xf>
    <xf numFmtId="0" fontId="65" fillId="0" borderId="17" xfId="0" applyFont="1" applyBorder="1" applyAlignment="1">
      <alignment vertical="center"/>
    </xf>
    <xf numFmtId="171" fontId="0" fillId="0" borderId="13" xfId="0" applyNumberFormat="1" applyFont="1" applyBorder="1" applyAlignment="1">
      <alignment/>
    </xf>
    <xf numFmtId="0" fontId="65" fillId="0" borderId="16" xfId="0" applyFont="1" applyBorder="1" applyAlignment="1">
      <alignment vertical="center"/>
    </xf>
    <xf numFmtId="171" fontId="0" fillId="0" borderId="11" xfId="0" applyNumberFormat="1" applyFont="1" applyBorder="1" applyAlignment="1">
      <alignment/>
    </xf>
    <xf numFmtId="169" fontId="64" fillId="34" borderId="13" xfId="0" applyNumberFormat="1" applyFont="1" applyFill="1" applyBorder="1" applyAlignment="1">
      <alignment/>
    </xf>
    <xf numFmtId="0" fontId="72" fillId="34" borderId="10" xfId="0" applyFont="1" applyFill="1" applyBorder="1" applyAlignment="1">
      <alignment horizontal="left" wrapText="1"/>
    </xf>
    <xf numFmtId="171" fontId="68" fillId="0" borderId="18" xfId="0" applyNumberFormat="1" applyFont="1" applyBorder="1" applyAlignment="1">
      <alignment/>
    </xf>
    <xf numFmtId="169" fontId="73" fillId="34" borderId="10" xfId="0" applyNumberFormat="1" applyFont="1" applyFill="1" applyBorder="1" applyAlignment="1">
      <alignment/>
    </xf>
    <xf numFmtId="171" fontId="68" fillId="0" borderId="18" xfId="0" applyNumberFormat="1" applyFont="1" applyBorder="1" applyAlignment="1">
      <alignment horizontal="center"/>
    </xf>
    <xf numFmtId="0" fontId="71" fillId="0" borderId="10" xfId="0" applyFont="1" applyBorder="1" applyAlignment="1">
      <alignment horizontal="center" vertical="center"/>
    </xf>
    <xf numFmtId="0" fontId="65" fillId="34" borderId="10" xfId="0" applyFont="1" applyFill="1" applyBorder="1" applyAlignment="1">
      <alignment horizontal="center" wrapText="1"/>
    </xf>
    <xf numFmtId="171" fontId="64" fillId="0" borderId="10" xfId="0" applyNumberFormat="1" applyFont="1" applyBorder="1" applyAlignment="1">
      <alignment/>
    </xf>
    <xf numFmtId="0" fontId="65" fillId="34" borderId="12" xfId="0" applyFont="1" applyFill="1" applyBorder="1" applyAlignment="1">
      <alignment/>
    </xf>
    <xf numFmtId="49" fontId="66" fillId="0" borderId="10" xfId="0" applyNumberFormat="1" applyFont="1" applyBorder="1" applyAlignment="1">
      <alignment horizontal="center"/>
    </xf>
    <xf numFmtId="0" fontId="68" fillId="0" borderId="16" xfId="0" applyFont="1" applyBorder="1" applyAlignment="1">
      <alignment/>
    </xf>
    <xf numFmtId="0" fontId="64" fillId="34" borderId="10" xfId="0" applyFont="1" applyFill="1" applyBorder="1" applyAlignment="1">
      <alignment/>
    </xf>
    <xf numFmtId="49" fontId="63" fillId="33" borderId="10" xfId="0" applyNumberFormat="1" applyFont="1" applyFill="1" applyBorder="1" applyAlignment="1">
      <alignment horizontal="center"/>
    </xf>
    <xf numFmtId="1" fontId="64" fillId="34" borderId="10" xfId="0" applyNumberFormat="1" applyFont="1" applyFill="1" applyBorder="1" applyAlignment="1">
      <alignment wrapText="1"/>
    </xf>
    <xf numFmtId="169" fontId="67" fillId="34" borderId="10" xfId="0" applyNumberFormat="1" applyFont="1" applyFill="1" applyBorder="1" applyAlignment="1">
      <alignment/>
    </xf>
    <xf numFmtId="0" fontId="64" fillId="34" borderId="10" xfId="0" applyFont="1" applyFill="1" applyBorder="1" applyAlignment="1">
      <alignment horizontal="right" wrapText="1"/>
    </xf>
    <xf numFmtId="0" fontId="68" fillId="0" borderId="19" xfId="0" applyFont="1" applyBorder="1" applyAlignment="1">
      <alignment/>
    </xf>
    <xf numFmtId="173" fontId="68" fillId="0" borderId="10" xfId="0" applyNumberFormat="1" applyFont="1" applyBorder="1" applyAlignment="1">
      <alignment/>
    </xf>
    <xf numFmtId="169" fontId="65" fillId="34" borderId="10" xfId="0" applyNumberFormat="1" applyFont="1" applyFill="1" applyBorder="1" applyAlignment="1">
      <alignment/>
    </xf>
    <xf numFmtId="0" fontId="74" fillId="0" borderId="11" xfId="0" applyFont="1" applyBorder="1" applyAlignment="1">
      <alignment/>
    </xf>
    <xf numFmtId="169" fontId="65" fillId="34" borderId="13" xfId="0" applyNumberFormat="1" applyFont="1" applyFill="1" applyBorder="1" applyAlignment="1">
      <alignment/>
    </xf>
    <xf numFmtId="171" fontId="0" fillId="0" borderId="12" xfId="0" applyNumberFormat="1" applyFont="1" applyBorder="1" applyAlignment="1">
      <alignment/>
    </xf>
    <xf numFmtId="0" fontId="69" fillId="0" borderId="0" xfId="0" applyFont="1" applyAlignment="1">
      <alignment/>
    </xf>
    <xf numFmtId="169" fontId="65" fillId="0" borderId="10" xfId="0" applyNumberFormat="1" applyFont="1" applyBorder="1" applyAlignment="1">
      <alignment/>
    </xf>
    <xf numFmtId="0" fontId="64" fillId="34" borderId="11" xfId="0" applyFont="1" applyFill="1" applyBorder="1" applyAlignment="1">
      <alignment/>
    </xf>
    <xf numFmtId="169" fontId="67" fillId="34" borderId="0" xfId="0" applyNumberFormat="1" applyFont="1" applyFill="1" applyAlignment="1">
      <alignment/>
    </xf>
    <xf numFmtId="173" fontId="68" fillId="0" borderId="13" xfId="0" applyNumberFormat="1" applyFont="1" applyBorder="1" applyAlignment="1">
      <alignment/>
    </xf>
    <xf numFmtId="9" fontId="0" fillId="34" borderId="10" xfId="0" applyNumberFormat="1" applyFont="1" applyFill="1" applyBorder="1" applyAlignment="1">
      <alignment horizontal="right"/>
    </xf>
    <xf numFmtId="169" fontId="68" fillId="0" borderId="18" xfId="0" applyNumberFormat="1" applyFont="1" applyBorder="1" applyAlignment="1">
      <alignment/>
    </xf>
    <xf numFmtId="0" fontId="63" fillId="33" borderId="10" xfId="0" applyFont="1" applyFill="1" applyBorder="1" applyAlignment="1">
      <alignment horizontal="left"/>
    </xf>
    <xf numFmtId="0" fontId="0" fillId="0" borderId="14" xfId="0" applyBorder="1" applyAlignment="1">
      <alignment wrapText="1"/>
    </xf>
    <xf numFmtId="171" fontId="68" fillId="0" borderId="11" xfId="0" applyNumberFormat="1" applyFont="1" applyBorder="1" applyAlignment="1">
      <alignment/>
    </xf>
    <xf numFmtId="169" fontId="65" fillId="34" borderId="13" xfId="0" applyNumberFormat="1" applyFont="1" applyFill="1" applyBorder="1" applyAlignment="1">
      <alignment horizontal="center" vertical="center" wrapText="1"/>
    </xf>
    <xf numFmtId="0" fontId="0" fillId="0" borderId="16" xfId="0" applyBorder="1" applyAlignment="1">
      <alignment wrapText="1"/>
    </xf>
    <xf numFmtId="10" fontId="68" fillId="0" borderId="10" xfId="0" applyNumberFormat="1" applyFont="1" applyBorder="1" applyAlignment="1">
      <alignment/>
    </xf>
    <xf numFmtId="0" fontId="75" fillId="34" borderId="10" xfId="0" applyFont="1" applyFill="1" applyBorder="1" applyAlignment="1">
      <alignment wrapText="1"/>
    </xf>
    <xf numFmtId="0" fontId="0" fillId="0" borderId="12" xfId="0" applyBorder="1" applyAlignment="1">
      <alignment wrapText="1"/>
    </xf>
    <xf numFmtId="0" fontId="66" fillId="0" borderId="10" xfId="0" applyFont="1" applyBorder="1" applyAlignment="1">
      <alignment/>
    </xf>
    <xf numFmtId="0" fontId="66" fillId="0" borderId="16" xfId="0" applyFont="1" applyBorder="1" applyAlignment="1">
      <alignment horizontal="center"/>
    </xf>
    <xf numFmtId="0" fontId="0" fillId="34" borderId="0" xfId="0" applyFont="1" applyFill="1" applyAlignment="1">
      <alignment/>
    </xf>
    <xf numFmtId="1" fontId="63" fillId="0" borderId="10" xfId="0" applyNumberFormat="1" applyFont="1" applyBorder="1" applyAlignment="1">
      <alignment horizontal="right"/>
    </xf>
    <xf numFmtId="0" fontId="0" fillId="34" borderId="12" xfId="0" applyFont="1" applyFill="1" applyBorder="1" applyAlignment="1">
      <alignment/>
    </xf>
    <xf numFmtId="0" fontId="66" fillId="0" borderId="10" xfId="0" applyFont="1" applyBorder="1" applyAlignment="1">
      <alignment horizontal="center"/>
    </xf>
    <xf numFmtId="169" fontId="0" fillId="0" borderId="0" xfId="0" applyNumberFormat="1" applyFont="1" applyAlignment="1">
      <alignment/>
    </xf>
    <xf numFmtId="169" fontId="75" fillId="34" borderId="10" xfId="0" applyNumberFormat="1" applyFont="1" applyFill="1" applyBorder="1" applyAlignment="1">
      <alignment/>
    </xf>
    <xf numFmtId="169" fontId="0" fillId="0" borderId="12" xfId="0" applyNumberFormat="1" applyFont="1" applyBorder="1" applyAlignment="1">
      <alignment/>
    </xf>
    <xf numFmtId="1" fontId="64" fillId="34" borderId="10" xfId="0" applyNumberFormat="1" applyFont="1" applyFill="1" applyBorder="1" applyAlignment="1">
      <alignment/>
    </xf>
    <xf numFmtId="0" fontId="75" fillId="0" borderId="16" xfId="0" applyFont="1" applyBorder="1" applyAlignment="1">
      <alignment vertical="center"/>
    </xf>
    <xf numFmtId="169" fontId="0" fillId="34" borderId="0" xfId="0" applyNumberFormat="1" applyFont="1" applyFill="1" applyAlignment="1">
      <alignment/>
    </xf>
    <xf numFmtId="171" fontId="69" fillId="0" borderId="18" xfId="0" applyNumberFormat="1" applyFont="1" applyBorder="1" applyAlignment="1">
      <alignment horizontal="center"/>
    </xf>
    <xf numFmtId="0" fontId="63" fillId="0" borderId="10" xfId="0" applyFont="1" applyBorder="1" applyAlignment="1">
      <alignment/>
    </xf>
    <xf numFmtId="0" fontId="68" fillId="0" borderId="20" xfId="0" applyFont="1" applyBorder="1" applyAlignment="1">
      <alignment/>
    </xf>
    <xf numFmtId="169" fontId="0" fillId="34" borderId="12" xfId="0" applyNumberFormat="1" applyFont="1" applyFill="1" applyBorder="1" applyAlignment="1">
      <alignment/>
    </xf>
    <xf numFmtId="0" fontId="63" fillId="0" borderId="10" xfId="0" applyFont="1" applyBorder="1" applyAlignment="1">
      <alignment horizontal="left"/>
    </xf>
    <xf numFmtId="169" fontId="68" fillId="0" borderId="10" xfId="0" applyNumberFormat="1" applyFont="1" applyBorder="1" applyAlignment="1">
      <alignment/>
    </xf>
    <xf numFmtId="0" fontId="67" fillId="34" borderId="10" xfId="0" applyFont="1" applyFill="1" applyBorder="1" applyAlignment="1">
      <alignment horizontal="center"/>
    </xf>
    <xf numFmtId="174" fontId="68" fillId="0" borderId="10" xfId="0" applyNumberFormat="1" applyFont="1" applyBorder="1" applyAlignment="1">
      <alignment/>
    </xf>
    <xf numFmtId="169" fontId="66" fillId="0" borderId="10" xfId="0" applyNumberFormat="1" applyFont="1" applyBorder="1" applyAlignment="1">
      <alignment/>
    </xf>
    <xf numFmtId="0" fontId="67" fillId="0" borderId="11" xfId="0" applyFont="1" applyBorder="1" applyAlignment="1">
      <alignment/>
    </xf>
    <xf numFmtId="173" fontId="68" fillId="0" borderId="10" xfId="0" applyNumberFormat="1" applyFont="1" applyBorder="1" applyAlignment="1">
      <alignment horizontal="right"/>
    </xf>
    <xf numFmtId="49" fontId="63" fillId="0" borderId="12" xfId="0" applyNumberFormat="1" applyFont="1" applyBorder="1" applyAlignment="1">
      <alignment horizontal="center"/>
    </xf>
    <xf numFmtId="0" fontId="0" fillId="0" borderId="13" xfId="0" applyBorder="1" applyAlignment="1">
      <alignment wrapText="1"/>
    </xf>
    <xf numFmtId="169" fontId="69" fillId="0" borderId="10" xfId="0" applyNumberFormat="1" applyFont="1" applyBorder="1" applyAlignment="1">
      <alignment horizontal="center"/>
    </xf>
    <xf numFmtId="171" fontId="68" fillId="0" borderId="16" xfId="0" applyNumberFormat="1" applyFont="1" applyBorder="1" applyAlignment="1">
      <alignment/>
    </xf>
    <xf numFmtId="171" fontId="0" fillId="0" borderId="0" xfId="0" applyNumberFormat="1" applyFont="1" applyAlignment="1">
      <alignment/>
    </xf>
    <xf numFmtId="0" fontId="0" fillId="0" borderId="12" xfId="0" applyFont="1" applyBorder="1" applyAlignment="1">
      <alignment/>
    </xf>
    <xf numFmtId="176" fontId="68" fillId="0" borderId="10" xfId="0" applyNumberFormat="1" applyFont="1" applyBorder="1" applyAlignment="1">
      <alignment horizontal="right"/>
    </xf>
    <xf numFmtId="0" fontId="63" fillId="0" borderId="12" xfId="0" applyFont="1" applyBorder="1" applyAlignment="1">
      <alignment horizontal="center"/>
    </xf>
    <xf numFmtId="177" fontId="68" fillId="0" borderId="13" xfId="0" applyNumberFormat="1" applyFont="1" applyBorder="1" applyAlignment="1">
      <alignment/>
    </xf>
    <xf numFmtId="176" fontId="68" fillId="0" borderId="10" xfId="0" applyNumberFormat="1" applyFont="1" applyBorder="1" applyAlignment="1">
      <alignment/>
    </xf>
    <xf numFmtId="9" fontId="68" fillId="0" borderId="13" xfId="0" applyNumberFormat="1" applyFont="1" applyBorder="1" applyAlignment="1">
      <alignment/>
    </xf>
    <xf numFmtId="169" fontId="64" fillId="34" borderId="10" xfId="0" applyNumberFormat="1" applyFont="1" applyFill="1" applyBorder="1" applyAlignment="1">
      <alignment/>
    </xf>
    <xf numFmtId="0" fontId="68" fillId="0" borderId="0" xfId="0" applyFont="1" applyAlignment="1">
      <alignment/>
    </xf>
    <xf numFmtId="9" fontId="0" fillId="34" borderId="13" xfId="0" applyNumberFormat="1" applyFont="1" applyFill="1" applyBorder="1" applyAlignment="1">
      <alignment/>
    </xf>
    <xf numFmtId="0" fontId="66" fillId="0" borderId="12" xfId="0" applyFont="1" applyBorder="1" applyAlignment="1">
      <alignment horizontal="center"/>
    </xf>
    <xf numFmtId="171" fontId="66" fillId="0" borderId="10" xfId="0" applyNumberFormat="1" applyFont="1" applyBorder="1" applyAlignment="1">
      <alignment horizontal="center"/>
    </xf>
    <xf numFmtId="169" fontId="64" fillId="0" borderId="10" xfId="0" applyNumberFormat="1" applyFont="1" applyBorder="1" applyAlignment="1">
      <alignment horizontal="right"/>
    </xf>
    <xf numFmtId="169" fontId="63" fillId="0" borderId="10" xfId="0" applyNumberFormat="1" applyFont="1" applyBorder="1" applyAlignment="1">
      <alignment/>
    </xf>
    <xf numFmtId="0" fontId="0" fillId="0" borderId="0" xfId="0" applyFont="1" applyAlignment="1">
      <alignment/>
    </xf>
    <xf numFmtId="169" fontId="0" fillId="34" borderId="13" xfId="0" applyNumberFormat="1" applyFont="1" applyFill="1" applyBorder="1" applyAlignment="1">
      <alignment/>
    </xf>
    <xf numFmtId="9" fontId="64" fillId="34" borderId="10" xfId="0" applyNumberFormat="1" applyFont="1" applyFill="1" applyBorder="1" applyAlignment="1">
      <alignment wrapText="1"/>
    </xf>
    <xf numFmtId="175" fontId="68" fillId="0" borderId="10" xfId="0" applyNumberFormat="1" applyFont="1" applyBorder="1" applyAlignment="1">
      <alignment/>
    </xf>
    <xf numFmtId="0" fontId="68" fillId="0" borderId="12" xfId="0" applyFont="1" applyBorder="1" applyAlignment="1">
      <alignment/>
    </xf>
    <xf numFmtId="173" fontId="64" fillId="0" borderId="10" xfId="0" applyNumberFormat="1" applyFont="1" applyBorder="1" applyAlignment="1">
      <alignment/>
    </xf>
    <xf numFmtId="3" fontId="68" fillId="0" borderId="10" xfId="0" applyNumberFormat="1" applyFont="1" applyBorder="1" applyAlignment="1">
      <alignment/>
    </xf>
    <xf numFmtId="171" fontId="72" fillId="0" borderId="10" xfId="0" applyNumberFormat="1" applyFont="1" applyBorder="1" applyAlignment="1">
      <alignment/>
    </xf>
    <xf numFmtId="9" fontId="64" fillId="34" borderId="10" xfId="0" applyNumberFormat="1" applyFont="1" applyFill="1" applyBorder="1" applyAlignment="1">
      <alignment/>
    </xf>
    <xf numFmtId="169" fontId="0" fillId="0" borderId="11" xfId="0" applyNumberFormat="1" applyFont="1" applyBorder="1" applyAlignment="1">
      <alignment/>
    </xf>
    <xf numFmtId="0" fontId="0" fillId="34" borderId="10" xfId="0" applyFont="1" applyFill="1" applyBorder="1" applyAlignment="1">
      <alignment/>
    </xf>
    <xf numFmtId="0" fontId="65" fillId="34" borderId="11" xfId="0" applyFont="1" applyFill="1" applyBorder="1" applyAlignment="1">
      <alignment wrapText="1"/>
    </xf>
    <xf numFmtId="178" fontId="68" fillId="0" borderId="10" xfId="0" applyNumberFormat="1" applyFont="1" applyBorder="1" applyAlignment="1">
      <alignment/>
    </xf>
    <xf numFmtId="171" fontId="68" fillId="0" borderId="21" xfId="0" applyNumberFormat="1" applyFont="1" applyBorder="1" applyAlignment="1">
      <alignment/>
    </xf>
    <xf numFmtId="3" fontId="64" fillId="34" borderId="10" xfId="0" applyNumberFormat="1" applyFont="1" applyFill="1" applyBorder="1" applyAlignment="1">
      <alignment/>
    </xf>
    <xf numFmtId="0" fontId="65" fillId="34" borderId="10" xfId="0" applyFont="1" applyFill="1" applyBorder="1" applyAlignment="1">
      <alignment wrapText="1"/>
    </xf>
    <xf numFmtId="0" fontId="64" fillId="34" borderId="10" xfId="0" applyFont="1" applyFill="1" applyBorder="1" applyAlignment="1">
      <alignment horizontal="right"/>
    </xf>
    <xf numFmtId="0" fontId="72" fillId="34" borderId="10" xfId="0" applyFont="1" applyFill="1" applyBorder="1" applyAlignment="1">
      <alignment wrapText="1"/>
    </xf>
    <xf numFmtId="169" fontId="72" fillId="0" borderId="10" xfId="0" applyNumberFormat="1" applyFont="1" applyBorder="1" applyAlignment="1">
      <alignment/>
    </xf>
    <xf numFmtId="171" fontId="68" fillId="0" borderId="10" xfId="0" applyNumberFormat="1" applyFont="1" applyBorder="1" applyAlignment="1">
      <alignment/>
    </xf>
    <xf numFmtId="169" fontId="64" fillId="0" borderId="10" xfId="0" applyNumberFormat="1" applyFont="1" applyBorder="1" applyAlignment="1">
      <alignment/>
    </xf>
    <xf numFmtId="179" fontId="68" fillId="0" borderId="13" xfId="0" applyNumberFormat="1" applyFont="1" applyBorder="1" applyAlignment="1">
      <alignment/>
    </xf>
    <xf numFmtId="0" fontId="76" fillId="0" borderId="10" xfId="0" applyFont="1" applyBorder="1" applyAlignment="1">
      <alignment/>
    </xf>
    <xf numFmtId="174" fontId="68" fillId="0" borderId="13" xfId="0" applyNumberFormat="1" applyFont="1" applyBorder="1" applyAlignment="1">
      <alignment/>
    </xf>
    <xf numFmtId="180" fontId="64" fillId="0" borderId="10" xfId="0" applyNumberFormat="1" applyFont="1" applyBorder="1" applyAlignment="1">
      <alignment/>
    </xf>
    <xf numFmtId="0" fontId="72" fillId="0" borderId="0" xfId="0" applyFont="1" applyAlignment="1">
      <alignment horizontal="center"/>
    </xf>
    <xf numFmtId="0" fontId="77" fillId="0" borderId="10" xfId="0" applyFont="1" applyBorder="1" applyAlignment="1">
      <alignment horizontal="left"/>
    </xf>
    <xf numFmtId="0" fontId="78" fillId="0" borderId="10" xfId="0" applyFont="1" applyBorder="1" applyAlignment="1">
      <alignment wrapText="1"/>
    </xf>
    <xf numFmtId="0" fontId="79" fillId="34" borderId="0" xfId="0" applyFont="1" applyFill="1" applyAlignment="1">
      <alignment/>
    </xf>
    <xf numFmtId="0" fontId="65" fillId="34" borderId="12" xfId="0" applyFont="1" applyFill="1" applyBorder="1" applyAlignment="1">
      <alignment wrapText="1"/>
    </xf>
    <xf numFmtId="169" fontId="65" fillId="0" borderId="10" xfId="0" applyNumberFormat="1" applyFont="1" applyBorder="1" applyAlignment="1">
      <alignment horizontal="right"/>
    </xf>
    <xf numFmtId="0" fontId="67" fillId="34" borderId="10" xfId="0" applyFont="1" applyFill="1" applyBorder="1" applyAlignment="1">
      <alignment/>
    </xf>
    <xf numFmtId="0" fontId="68" fillId="0" borderId="14" xfId="0" applyFont="1" applyBorder="1" applyAlignment="1">
      <alignment/>
    </xf>
    <xf numFmtId="180" fontId="64" fillId="0" borderId="10" xfId="57" applyNumberFormat="1" applyFont="1" applyBorder="1" applyAlignment="1">
      <alignment/>
    </xf>
    <xf numFmtId="49" fontId="63" fillId="0" borderId="0" xfId="0" applyNumberFormat="1" applyFont="1" applyBorder="1" applyAlignment="1">
      <alignment horizontal="center"/>
    </xf>
    <xf numFmtId="0" fontId="80" fillId="0" borderId="22" xfId="0" applyFont="1" applyBorder="1" applyAlignment="1">
      <alignment wrapText="1"/>
    </xf>
    <xf numFmtId="0" fontId="81" fillId="0" borderId="22" xfId="0" applyFont="1" applyBorder="1" applyAlignment="1">
      <alignment horizontal="center" vertical="center"/>
    </xf>
    <xf numFmtId="171" fontId="82" fillId="0" borderId="22" xfId="0" applyNumberFormat="1" applyFont="1" applyBorder="1" applyAlignment="1">
      <alignment horizontal="center" vertical="center"/>
    </xf>
    <xf numFmtId="169" fontId="82" fillId="0" borderId="22" xfId="0" applyNumberFormat="1" applyFont="1" applyBorder="1" applyAlignment="1">
      <alignment horizontal="center" vertical="center"/>
    </xf>
    <xf numFmtId="0" fontId="0" fillId="0" borderId="22" xfId="0" applyBorder="1" applyAlignment="1">
      <alignment wrapText="1"/>
    </xf>
    <xf numFmtId="0" fontId="83" fillId="0" borderId="22" xfId="0" applyFont="1" applyBorder="1" applyAlignment="1">
      <alignment horizontal="left" vertical="center"/>
    </xf>
    <xf numFmtId="169" fontId="81" fillId="0" borderId="22" xfId="0" applyNumberFormat="1" applyFont="1" applyBorder="1" applyAlignment="1">
      <alignment horizontal="center" vertical="center"/>
    </xf>
    <xf numFmtId="0" fontId="63" fillId="33" borderId="22" xfId="0" applyFont="1" applyFill="1" applyBorder="1" applyAlignment="1">
      <alignment horizontal="right" vertical="top"/>
    </xf>
    <xf numFmtId="0" fontId="63" fillId="33" borderId="22" xfId="0" applyFont="1" applyFill="1" applyBorder="1" applyAlignment="1">
      <alignment horizontal="left" vertical="top"/>
    </xf>
    <xf numFmtId="169" fontId="63" fillId="33" borderId="22" xfId="0" applyNumberFormat="1" applyFont="1" applyFill="1" applyBorder="1" applyAlignment="1">
      <alignment horizontal="left" vertical="center"/>
    </xf>
    <xf numFmtId="49" fontId="84" fillId="0" borderId="22" xfId="0" applyNumberFormat="1" applyFont="1" applyBorder="1" applyAlignment="1">
      <alignment horizontal="right"/>
    </xf>
    <xf numFmtId="0" fontId="84" fillId="0" borderId="22" xfId="0" applyFont="1" applyBorder="1" applyAlignment="1">
      <alignment/>
    </xf>
    <xf numFmtId="169" fontId="84" fillId="0" borderId="22" xfId="0" applyNumberFormat="1" applyFont="1" applyBorder="1" applyAlignment="1">
      <alignment horizontal="center"/>
    </xf>
    <xf numFmtId="0" fontId="68" fillId="0" borderId="22" xfId="0" applyFont="1" applyBorder="1" applyAlignment="1">
      <alignment/>
    </xf>
    <xf numFmtId="169" fontId="68" fillId="0" borderId="22" xfId="0" applyNumberFormat="1" applyFont="1" applyBorder="1" applyAlignment="1">
      <alignment/>
    </xf>
    <xf numFmtId="169" fontId="84" fillId="0" borderId="22" xfId="0" applyNumberFormat="1" applyFont="1" applyBorder="1" applyAlignment="1">
      <alignment/>
    </xf>
    <xf numFmtId="0" fontId="68" fillId="0" borderId="22" xfId="0" applyFont="1" applyBorder="1" applyAlignment="1">
      <alignment horizontal="left"/>
    </xf>
    <xf numFmtId="169" fontId="71" fillId="0" borderId="22" xfId="0" applyNumberFormat="1" applyFont="1" applyBorder="1" applyAlignment="1">
      <alignment/>
    </xf>
    <xf numFmtId="0" fontId="85" fillId="0" borderId="22" xfId="0" applyFont="1" applyBorder="1" applyAlignment="1">
      <alignment/>
    </xf>
    <xf numFmtId="169" fontId="85" fillId="0" borderId="22" xfId="0" applyNumberFormat="1" applyFont="1" applyBorder="1" applyAlignment="1">
      <alignment/>
    </xf>
    <xf numFmtId="49" fontId="68" fillId="0" borderId="22" xfId="0" applyNumberFormat="1" applyFont="1" applyBorder="1" applyAlignment="1">
      <alignment horizontal="right"/>
    </xf>
    <xf numFmtId="49" fontId="85" fillId="35" borderId="22" xfId="0" applyNumberFormat="1" applyFont="1" applyFill="1" applyBorder="1" applyAlignment="1">
      <alignment horizontal="right"/>
    </xf>
    <xf numFmtId="0" fontId="83" fillId="35" borderId="22" xfId="0" applyFont="1" applyFill="1" applyBorder="1" applyAlignment="1">
      <alignment horizontal="left"/>
    </xf>
    <xf numFmtId="169" fontId="83" fillId="35" borderId="22" xfId="0" applyNumberFormat="1" applyFont="1" applyFill="1" applyBorder="1" applyAlignment="1">
      <alignment/>
    </xf>
    <xf numFmtId="0" fontId="83" fillId="0" borderId="22" xfId="0" applyFont="1" applyBorder="1" applyAlignment="1">
      <alignment/>
    </xf>
    <xf numFmtId="0" fontId="63" fillId="33" borderId="22" xfId="0" applyFont="1" applyFill="1" applyBorder="1" applyAlignment="1">
      <alignment horizontal="right" vertical="center"/>
    </xf>
    <xf numFmtId="0" fontId="63" fillId="33" borderId="22" xfId="0" applyFont="1" applyFill="1" applyBorder="1" applyAlignment="1">
      <alignment horizontal="left" vertical="center"/>
    </xf>
    <xf numFmtId="0" fontId="69" fillId="0" borderId="22" xfId="0" applyFont="1" applyBorder="1" applyAlignment="1">
      <alignment/>
    </xf>
    <xf numFmtId="49" fontId="83" fillId="35" borderId="22" xfId="0" applyNumberFormat="1" applyFont="1" applyFill="1" applyBorder="1" applyAlignment="1">
      <alignment horizontal="left"/>
    </xf>
    <xf numFmtId="169" fontId="83" fillId="35" borderId="22" xfId="0" applyNumberFormat="1" applyFont="1" applyFill="1" applyBorder="1" applyAlignment="1">
      <alignment horizontal="left"/>
    </xf>
    <xf numFmtId="169" fontId="64" fillId="0" borderId="22" xfId="0" applyNumberFormat="1" applyFont="1" applyBorder="1" applyAlignment="1">
      <alignment/>
    </xf>
    <xf numFmtId="169" fontId="86" fillId="0" borderId="22" xfId="0" applyNumberFormat="1" applyFont="1" applyBorder="1" applyAlignment="1">
      <alignment/>
    </xf>
    <xf numFmtId="169" fontId="87" fillId="0" borderId="22" xfId="0" applyNumberFormat="1" applyFont="1" applyBorder="1" applyAlignment="1">
      <alignment/>
    </xf>
    <xf numFmtId="0" fontId="64" fillId="0" borderId="23" xfId="0" applyFont="1" applyBorder="1" applyAlignment="1">
      <alignment/>
    </xf>
    <xf numFmtId="169" fontId="64" fillId="0" borderId="24" xfId="0" applyNumberFormat="1" applyFont="1" applyBorder="1" applyAlignment="1">
      <alignment/>
    </xf>
    <xf numFmtId="0" fontId="87" fillId="0" borderId="23" xfId="0" applyFont="1" applyBorder="1" applyAlignment="1">
      <alignment/>
    </xf>
    <xf numFmtId="169" fontId="86" fillId="0" borderId="24" xfId="0" applyNumberFormat="1" applyFont="1" applyBorder="1" applyAlignment="1">
      <alignment/>
    </xf>
    <xf numFmtId="169" fontId="87" fillId="0" borderId="24" xfId="0" applyNumberFormat="1" applyFont="1" applyBorder="1" applyAlignment="1">
      <alignment/>
    </xf>
    <xf numFmtId="0" fontId="64" fillId="0" borderId="25" xfId="0" applyFont="1" applyBorder="1" applyAlignment="1">
      <alignment/>
    </xf>
    <xf numFmtId="169" fontId="64" fillId="0" borderId="26" xfId="0" applyNumberFormat="1" applyFont="1" applyBorder="1" applyAlignment="1">
      <alignment/>
    </xf>
    <xf numFmtId="171" fontId="64" fillId="0" borderId="26" xfId="0" applyNumberFormat="1" applyFont="1" applyBorder="1" applyAlignment="1">
      <alignment/>
    </xf>
    <xf numFmtId="171" fontId="64" fillId="0" borderId="27" xfId="0" applyNumberFormat="1" applyFont="1" applyBorder="1" applyAlignment="1">
      <alignment/>
    </xf>
    <xf numFmtId="0" fontId="64" fillId="0" borderId="28" xfId="0" applyFont="1" applyBorder="1" applyAlignment="1">
      <alignment/>
    </xf>
    <xf numFmtId="169" fontId="64" fillId="0" borderId="29" xfId="0" applyNumberFormat="1" applyFont="1" applyBorder="1" applyAlignment="1">
      <alignment/>
    </xf>
    <xf numFmtId="169" fontId="64" fillId="0" borderId="30" xfId="0" applyNumberFormat="1" applyFont="1" applyBorder="1" applyAlignment="1">
      <alignment/>
    </xf>
    <xf numFmtId="0" fontId="67" fillId="0" borderId="31" xfId="0" applyFont="1" applyBorder="1" applyAlignment="1">
      <alignment horizontal="center" wrapText="1"/>
    </xf>
    <xf numFmtId="49" fontId="63" fillId="0" borderId="32" xfId="0" applyNumberFormat="1" applyFont="1" applyBorder="1" applyAlignment="1">
      <alignment horizontal="center"/>
    </xf>
    <xf numFmtId="49" fontId="63" fillId="0" borderId="33" xfId="0" applyNumberFormat="1" applyFont="1" applyBorder="1" applyAlignment="1">
      <alignment horizontal="center"/>
    </xf>
    <xf numFmtId="0" fontId="88" fillId="0" borderId="0" xfId="0" applyFont="1" applyAlignment="1">
      <alignment horizontal="center"/>
    </xf>
    <xf numFmtId="0" fontId="89" fillId="0" borderId="0" xfId="0" applyFont="1" applyAlignment="1">
      <alignment horizontal="center"/>
    </xf>
    <xf numFmtId="0" fontId="0" fillId="0" borderId="0" xfId="0" applyAlignment="1">
      <alignment wrapText="1"/>
    </xf>
    <xf numFmtId="0" fontId="74" fillId="0" borderId="0" xfId="0" applyFont="1" applyAlignment="1">
      <alignment horizontal="left" vertical="center"/>
    </xf>
    <xf numFmtId="0" fontId="63" fillId="0" borderId="10" xfId="0" applyFont="1" applyBorder="1" applyAlignment="1">
      <alignment horizontal="center" vertical="center"/>
    </xf>
    <xf numFmtId="0" fontId="0" fillId="0" borderId="16" xfId="0" applyBorder="1" applyAlignment="1">
      <alignment wrapText="1"/>
    </xf>
    <xf numFmtId="0" fontId="0" fillId="0" borderId="20" xfId="0" applyBorder="1" applyAlignment="1">
      <alignment wrapText="1"/>
    </xf>
    <xf numFmtId="169" fontId="65" fillId="0" borderId="17" xfId="0" applyNumberFormat="1" applyFont="1" applyBorder="1" applyAlignment="1">
      <alignment horizontal="left" vertical="center"/>
    </xf>
    <xf numFmtId="0" fontId="63" fillId="0" borderId="34" xfId="0" applyFont="1" applyBorder="1" applyAlignment="1">
      <alignment horizontal="center" vertical="center"/>
    </xf>
    <xf numFmtId="0" fontId="63" fillId="0" borderId="12" xfId="0" applyFont="1" applyBorder="1" applyAlignment="1">
      <alignment horizontal="center" vertical="center"/>
    </xf>
    <xf numFmtId="0" fontId="65" fillId="34" borderId="16" xfId="0" applyFont="1" applyFill="1" applyBorder="1" applyAlignment="1">
      <alignment horizontal="left" wrapText="1"/>
    </xf>
    <xf numFmtId="0" fontId="72"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rgb="FFFF0000"/>
      </font>
      <fill>
        <patternFill patternType="solid">
          <bgColor rgb="FF0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400050</xdr:colOff>
      <xdr:row>43</xdr:row>
      <xdr:rowOff>152400</xdr:rowOff>
    </xdr:to>
    <xdr:sp>
      <xdr:nvSpPr>
        <xdr:cNvPr id="1" name="Rectangle 2" hidden="1"/>
        <xdr:cNvSpPr>
          <a:spLocks/>
        </xdr:cNvSpPr>
      </xdr:nvSpPr>
      <xdr:spPr>
        <a:xfrm>
          <a:off x="0" y="0"/>
          <a:ext cx="9629775" cy="125349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9525</xdr:colOff>
      <xdr:row>47</xdr:row>
      <xdr:rowOff>76200</xdr:rowOff>
    </xdr:to>
    <xdr:sp>
      <xdr:nvSpPr>
        <xdr:cNvPr id="1" name="Rectangle 10" hidden="1"/>
        <xdr:cNvSpPr>
          <a:spLocks/>
        </xdr:cNvSpPr>
      </xdr:nvSpPr>
      <xdr:spPr>
        <a:xfrm>
          <a:off x="0" y="0"/>
          <a:ext cx="10134600" cy="95250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E73"/>
  <sheetViews>
    <sheetView showGridLines="0" zoomScalePageLayoutView="0" workbookViewId="0" topLeftCell="A28">
      <selection activeCell="E28" sqref="E28"/>
    </sheetView>
  </sheetViews>
  <sheetFormatPr defaultColWidth="9.140625" defaultRowHeight="15.75" customHeight="1"/>
  <cols>
    <col min="1" max="1" width="5.7109375" style="0" customWidth="1"/>
    <col min="2" max="2" width="35.421875" style="0" customWidth="1"/>
    <col min="3" max="5" width="20.140625" style="0" customWidth="1"/>
  </cols>
  <sheetData>
    <row r="1" spans="1:5" ht="24.75" customHeight="1">
      <c r="A1" s="198" t="s">
        <v>0</v>
      </c>
      <c r="B1" s="198"/>
      <c r="C1" s="198"/>
      <c r="D1" s="198"/>
      <c r="E1" s="198"/>
    </row>
    <row r="2" spans="3:5" ht="15.75">
      <c r="C2" s="149" t="s">
        <v>298</v>
      </c>
      <c r="D2" s="149" t="s">
        <v>299</v>
      </c>
      <c r="E2" s="149" t="s">
        <v>300</v>
      </c>
    </row>
    <row r="3" spans="1:5" ht="21" customHeight="1">
      <c r="A3" s="150"/>
      <c r="B3" s="151" t="s">
        <v>1</v>
      </c>
      <c r="C3" s="152">
        <f>+C43-C73</f>
        <v>0</v>
      </c>
      <c r="D3" s="153">
        <f>D43-D73</f>
        <v>0</v>
      </c>
      <c r="E3" s="153">
        <f>E43-E73</f>
        <v>0</v>
      </c>
    </row>
    <row r="4" spans="1:5" ht="21" customHeight="1">
      <c r="A4" s="154"/>
      <c r="B4" s="155" t="s">
        <v>2</v>
      </c>
      <c r="C4" s="156" t="str">
        <f>IF((C3=0),"Bảng cân đối: OK","Bảng cân đối: sai rồi!!!")</f>
        <v>Bảng cân đối: OK</v>
      </c>
      <c r="D4" s="156" t="str">
        <f>IF((D3=0),"Bảng cân đối: OK","Bảng cân đối: sai rồi!!!")</f>
        <v>Bảng cân đối: OK</v>
      </c>
      <c r="E4" s="156" t="str">
        <f>IF((E3=0),"Bảng cân đối: OK","Bảng cân đối: sai rồi!!!")</f>
        <v>Bảng cân đối: OK</v>
      </c>
    </row>
    <row r="5" spans="1:5" ht="31.5" customHeight="1">
      <c r="A5" s="157" t="s">
        <v>3</v>
      </c>
      <c r="B5" s="158" t="s">
        <v>4</v>
      </c>
      <c r="C5" s="159">
        <f>((C6+C9)+C16)+C24</f>
        <v>3322684516</v>
      </c>
      <c r="D5" s="159">
        <f>((D6+D9)+D16)+D24</f>
        <v>10338207793</v>
      </c>
      <c r="E5" s="159">
        <f>((E6+E9)+E16)+E24</f>
        <v>10562982696</v>
      </c>
    </row>
    <row r="6" spans="1:5" ht="15.75">
      <c r="A6" s="160" t="s">
        <v>5</v>
      </c>
      <c r="B6" s="161" t="s">
        <v>6</v>
      </c>
      <c r="C6" s="162">
        <f>C7+C8</f>
        <v>398975731</v>
      </c>
      <c r="D6" s="162">
        <f>D7+D8</f>
        <v>315354256</v>
      </c>
      <c r="E6" s="162">
        <f>E7+E8</f>
        <v>439662685</v>
      </c>
    </row>
    <row r="7" spans="1:5" ht="15.75">
      <c r="A7" s="154"/>
      <c r="B7" s="163" t="s">
        <v>7</v>
      </c>
      <c r="C7" s="164">
        <v>48827374</v>
      </c>
      <c r="D7" s="164">
        <v>78966512</v>
      </c>
      <c r="E7" s="164">
        <v>117033148</v>
      </c>
    </row>
    <row r="8" spans="1:5" ht="15.75">
      <c r="A8" s="154"/>
      <c r="B8" s="163" t="s">
        <v>8</v>
      </c>
      <c r="C8" s="164">
        <v>350148357</v>
      </c>
      <c r="D8" s="164">
        <v>236387744</v>
      </c>
      <c r="E8" s="164">
        <v>322629537</v>
      </c>
    </row>
    <row r="9" spans="1:5" ht="15.75">
      <c r="A9" s="160" t="s">
        <v>9</v>
      </c>
      <c r="B9" s="161" t="s">
        <v>10</v>
      </c>
      <c r="C9" s="165">
        <f>SUM(C10:C15)</f>
        <v>616377026</v>
      </c>
      <c r="D9" s="165">
        <f>SUM(D10:D15)</f>
        <v>1789764475</v>
      </c>
      <c r="E9" s="165">
        <f>SUM(E10:E15)</f>
        <v>1616581986</v>
      </c>
    </row>
    <row r="10" spans="1:5" ht="15.75">
      <c r="A10" s="154"/>
      <c r="B10" s="163" t="s">
        <v>11</v>
      </c>
      <c r="C10" s="164">
        <v>498338195</v>
      </c>
      <c r="D10" s="164">
        <v>1487084464</v>
      </c>
      <c r="E10" s="164">
        <v>1302258411</v>
      </c>
    </row>
    <row r="11" spans="1:5" ht="15.75">
      <c r="A11" s="154"/>
      <c r="B11" s="163" t="s">
        <v>12</v>
      </c>
      <c r="C11" s="164"/>
      <c r="D11" s="164">
        <v>0</v>
      </c>
      <c r="E11" s="164">
        <v>0</v>
      </c>
    </row>
    <row r="12" spans="1:5" ht="15.75">
      <c r="A12" s="154"/>
      <c r="B12" s="163" t="s">
        <v>13</v>
      </c>
      <c r="C12" s="164">
        <v>68038831</v>
      </c>
      <c r="D12" s="164">
        <v>302680011</v>
      </c>
      <c r="E12" s="164">
        <v>314323575</v>
      </c>
    </row>
    <row r="13" spans="1:5" ht="15.75">
      <c r="A13" s="154"/>
      <c r="B13" s="163" t="s">
        <v>14</v>
      </c>
      <c r="C13" s="164">
        <v>0</v>
      </c>
      <c r="D13" s="164">
        <v>0</v>
      </c>
      <c r="E13" s="164">
        <v>0</v>
      </c>
    </row>
    <row r="14" spans="1:5" ht="15.75">
      <c r="A14" s="154"/>
      <c r="B14" s="163" t="s">
        <v>15</v>
      </c>
      <c r="C14" s="164">
        <v>50000000</v>
      </c>
      <c r="D14" s="164">
        <v>0</v>
      </c>
      <c r="E14" s="164">
        <v>0</v>
      </c>
    </row>
    <row r="15" spans="1:5" ht="15.75">
      <c r="A15" s="154"/>
      <c r="B15" s="163" t="s">
        <v>16</v>
      </c>
      <c r="C15" s="164"/>
      <c r="D15" s="164">
        <v>0</v>
      </c>
      <c r="E15" s="164">
        <v>0</v>
      </c>
    </row>
    <row r="16" spans="1:5" ht="15.75">
      <c r="A16" s="160" t="s">
        <v>17</v>
      </c>
      <c r="B16" s="161" t="s">
        <v>18</v>
      </c>
      <c r="C16" s="165">
        <f>SUM(C17:C23)</f>
        <v>2307331759</v>
      </c>
      <c r="D16" s="165">
        <f>SUM(D17:D23)</f>
        <v>8233089062</v>
      </c>
      <c r="E16" s="165">
        <f>SUM(E17:E23)</f>
        <v>8506738025</v>
      </c>
    </row>
    <row r="17" spans="1:5" ht="15.75">
      <c r="A17" s="154"/>
      <c r="B17" s="163" t="s">
        <v>19</v>
      </c>
      <c r="C17" s="164">
        <v>0</v>
      </c>
      <c r="D17" s="164">
        <v>0</v>
      </c>
      <c r="E17" s="164">
        <v>0</v>
      </c>
    </row>
    <row r="18" spans="1:5" ht="15.75">
      <c r="A18" s="154"/>
      <c r="B18" s="163" t="s">
        <v>20</v>
      </c>
      <c r="C18" s="164">
        <v>0</v>
      </c>
      <c r="D18" s="164">
        <v>0</v>
      </c>
      <c r="E18" s="164">
        <v>0</v>
      </c>
    </row>
    <row r="19" spans="1:5" ht="15.75">
      <c r="A19" s="154"/>
      <c r="B19" s="163" t="s">
        <v>21</v>
      </c>
      <c r="C19" s="164">
        <v>0</v>
      </c>
      <c r="D19" s="164">
        <v>2650000000</v>
      </c>
      <c r="E19" s="164">
        <v>4956000000</v>
      </c>
    </row>
    <row r="20" spans="1:5" ht="15.75">
      <c r="A20" s="154"/>
      <c r="B20" s="163" t="s">
        <v>22</v>
      </c>
      <c r="C20" s="164">
        <v>0</v>
      </c>
      <c r="D20" s="164">
        <v>0</v>
      </c>
      <c r="E20" s="164">
        <v>0</v>
      </c>
    </row>
    <row r="21" spans="1:5" ht="15.75">
      <c r="A21" s="154"/>
      <c r="B21" s="163" t="s">
        <v>23</v>
      </c>
      <c r="C21" s="164">
        <v>2307331759</v>
      </c>
      <c r="D21" s="164">
        <v>5583089062</v>
      </c>
      <c r="E21" s="164">
        <v>3550738025</v>
      </c>
    </row>
    <row r="22" spans="1:5" ht="15.75">
      <c r="A22" s="154"/>
      <c r="B22" s="163" t="s">
        <v>24</v>
      </c>
      <c r="C22" s="164">
        <v>0</v>
      </c>
      <c r="D22" s="164">
        <v>0</v>
      </c>
      <c r="E22" s="164">
        <v>0</v>
      </c>
    </row>
    <row r="23" spans="1:5" ht="15.75">
      <c r="A23" s="154"/>
      <c r="B23" s="154"/>
      <c r="C23" s="164"/>
      <c r="D23" s="164"/>
      <c r="E23" s="164"/>
    </row>
    <row r="24" spans="1:5" ht="15.75">
      <c r="A24" s="160" t="s">
        <v>25</v>
      </c>
      <c r="B24" s="161" t="s">
        <v>26</v>
      </c>
      <c r="C24" s="165">
        <f>SUM(C25:C26)</f>
        <v>0</v>
      </c>
      <c r="D24" s="165">
        <f>SUM(D25:D26)</f>
        <v>0</v>
      </c>
      <c r="E24" s="165">
        <f>SUM(E25:E26)</f>
        <v>0</v>
      </c>
    </row>
    <row r="25" spans="1:5" ht="15.75">
      <c r="A25" s="154"/>
      <c r="B25" s="166" t="s">
        <v>27</v>
      </c>
      <c r="C25" s="164">
        <v>0</v>
      </c>
      <c r="D25" s="164">
        <v>0</v>
      </c>
      <c r="E25" s="164">
        <v>0</v>
      </c>
    </row>
    <row r="26" spans="1:5" ht="15.75">
      <c r="A26" s="154"/>
      <c r="B26" s="166" t="s">
        <v>28</v>
      </c>
      <c r="C26" s="164">
        <v>0</v>
      </c>
      <c r="D26" s="164">
        <v>0</v>
      </c>
      <c r="E26" s="164">
        <v>0</v>
      </c>
    </row>
    <row r="27" spans="1:5" ht="15.75">
      <c r="A27" s="154"/>
      <c r="B27" s="154"/>
      <c r="C27" s="167"/>
      <c r="D27" s="167"/>
      <c r="E27" s="167"/>
    </row>
    <row r="28" spans="1:5" ht="32.25" customHeight="1">
      <c r="A28" s="157" t="s">
        <v>29</v>
      </c>
      <c r="B28" s="158" t="s">
        <v>30</v>
      </c>
      <c r="C28" s="159">
        <f>((C29+C40)+C41)+C42</f>
        <v>310073073</v>
      </c>
      <c r="D28" s="159">
        <f>((D29+D40)+D41)+D42</f>
        <v>584473318</v>
      </c>
      <c r="E28" s="159">
        <f>((E29+E40)+E41)+E42</f>
        <v>515881734</v>
      </c>
    </row>
    <row r="29" spans="1:5" ht="15.75">
      <c r="A29" s="160" t="s">
        <v>31</v>
      </c>
      <c r="B29" s="161" t="s">
        <v>32</v>
      </c>
      <c r="C29" s="165">
        <f>(C30+C36)+C33</f>
        <v>140754400</v>
      </c>
      <c r="D29" s="165">
        <f>(D30+D36)+D33</f>
        <v>584473318</v>
      </c>
      <c r="E29" s="165">
        <f>(E30+E36)+E33</f>
        <v>481536496</v>
      </c>
    </row>
    <row r="30" spans="1:5" ht="15.75">
      <c r="A30" s="154"/>
      <c r="B30" s="168" t="s">
        <v>33</v>
      </c>
      <c r="C30" s="169">
        <f>C31-C32</f>
        <v>140754400</v>
      </c>
      <c r="D30" s="169">
        <f>D31-D32</f>
        <v>584473318</v>
      </c>
      <c r="E30" s="169">
        <f>E31-E32</f>
        <v>481536496</v>
      </c>
    </row>
    <row r="31" spans="1:5" ht="15.75">
      <c r="A31" s="154"/>
      <c r="B31" s="163" t="s">
        <v>34</v>
      </c>
      <c r="C31" s="164">
        <v>241171905</v>
      </c>
      <c r="D31" s="164">
        <v>721722415</v>
      </c>
      <c r="E31" s="164">
        <v>721722415</v>
      </c>
    </row>
    <row r="32" spans="1:5" ht="15.75">
      <c r="A32" s="154"/>
      <c r="B32" s="163" t="s">
        <v>35</v>
      </c>
      <c r="C32" s="164">
        <v>100417505</v>
      </c>
      <c r="D32" s="164">
        <v>137249097</v>
      </c>
      <c r="E32" s="164">
        <v>240185919</v>
      </c>
    </row>
    <row r="33" spans="1:5" ht="15.75">
      <c r="A33" s="154"/>
      <c r="B33" s="168" t="s">
        <v>36</v>
      </c>
      <c r="C33" s="169">
        <f>C34-C35</f>
        <v>0</v>
      </c>
      <c r="D33" s="169">
        <f>D34-D35</f>
        <v>0</v>
      </c>
      <c r="E33" s="169">
        <f>E34-E35</f>
        <v>0</v>
      </c>
    </row>
    <row r="34" spans="1:5" ht="15.75">
      <c r="A34" s="154"/>
      <c r="B34" s="163" t="s">
        <v>34</v>
      </c>
      <c r="C34" s="164">
        <v>0</v>
      </c>
      <c r="D34" s="164">
        <v>0</v>
      </c>
      <c r="E34" s="164">
        <v>0</v>
      </c>
    </row>
    <row r="35" spans="1:5" ht="15.75">
      <c r="A35" s="154"/>
      <c r="B35" s="163" t="s">
        <v>37</v>
      </c>
      <c r="C35" s="164">
        <v>0</v>
      </c>
      <c r="D35" s="164">
        <v>0</v>
      </c>
      <c r="E35" s="164">
        <v>0</v>
      </c>
    </row>
    <row r="36" spans="1:5" ht="15.75">
      <c r="A36" s="154"/>
      <c r="B36" s="168" t="s">
        <v>38</v>
      </c>
      <c r="C36" s="169">
        <f>C37-C38</f>
        <v>0</v>
      </c>
      <c r="D36" s="169">
        <f>D37-D38</f>
        <v>0</v>
      </c>
      <c r="E36" s="169">
        <f>E37-E38</f>
        <v>0</v>
      </c>
    </row>
    <row r="37" spans="1:5" ht="15.75">
      <c r="A37" s="154"/>
      <c r="B37" s="163" t="s">
        <v>34</v>
      </c>
      <c r="C37" s="164">
        <v>0</v>
      </c>
      <c r="D37" s="164">
        <v>0</v>
      </c>
      <c r="E37" s="164">
        <v>0</v>
      </c>
    </row>
    <row r="38" spans="1:5" ht="15.75">
      <c r="A38" s="154"/>
      <c r="B38" s="163" t="s">
        <v>35</v>
      </c>
      <c r="C38" s="164">
        <v>0</v>
      </c>
      <c r="D38" s="164">
        <v>0</v>
      </c>
      <c r="E38" s="164">
        <v>0</v>
      </c>
    </row>
    <row r="39" spans="1:5" ht="15.75">
      <c r="A39" s="154"/>
      <c r="B39" s="163" t="s">
        <v>39</v>
      </c>
      <c r="C39" s="164">
        <v>0</v>
      </c>
      <c r="D39" s="164">
        <v>0</v>
      </c>
      <c r="E39" s="164">
        <v>0</v>
      </c>
    </row>
    <row r="40" spans="1:5" ht="15.75">
      <c r="A40" s="170" t="s">
        <v>40</v>
      </c>
      <c r="B40" s="163" t="s">
        <v>41</v>
      </c>
      <c r="C40" s="164">
        <v>0</v>
      </c>
      <c r="D40" s="164">
        <v>0</v>
      </c>
      <c r="E40" s="164">
        <v>0</v>
      </c>
    </row>
    <row r="41" spans="1:5" ht="15.75">
      <c r="A41" s="170" t="s">
        <v>42</v>
      </c>
      <c r="B41" s="163" t="s">
        <v>43</v>
      </c>
      <c r="C41" s="164">
        <v>0</v>
      </c>
      <c r="D41" s="164">
        <v>0</v>
      </c>
      <c r="E41" s="164">
        <v>0</v>
      </c>
    </row>
    <row r="42" spans="1:5" ht="15.75">
      <c r="A42" s="170" t="s">
        <v>44</v>
      </c>
      <c r="B42" s="163" t="s">
        <v>45</v>
      </c>
      <c r="C42" s="164">
        <v>169318673</v>
      </c>
      <c r="D42" s="164">
        <v>0</v>
      </c>
      <c r="E42" s="164">
        <v>34345238</v>
      </c>
    </row>
    <row r="43" spans="1:5" ht="15.75">
      <c r="A43" s="171"/>
      <c r="B43" s="172" t="s">
        <v>46</v>
      </c>
      <c r="C43" s="173">
        <f>C28+C5</f>
        <v>3632757589</v>
      </c>
      <c r="D43" s="173">
        <f>D28+D5</f>
        <v>10922681111</v>
      </c>
      <c r="E43" s="173">
        <f>E28+E5</f>
        <v>11078864430</v>
      </c>
    </row>
    <row r="44" spans="1:5" ht="16.5" customHeight="1">
      <c r="A44" s="170"/>
      <c r="B44" s="163"/>
      <c r="C44" s="164"/>
      <c r="D44" s="164"/>
      <c r="E44" s="164"/>
    </row>
    <row r="45" spans="1:5" ht="16.5" customHeight="1">
      <c r="A45" s="154"/>
      <c r="B45" s="154"/>
      <c r="C45" s="164"/>
      <c r="D45" s="154"/>
      <c r="E45" s="154"/>
    </row>
    <row r="46" spans="1:5" ht="15.75">
      <c r="A46" s="154"/>
      <c r="B46" s="174" t="s">
        <v>47</v>
      </c>
      <c r="C46" s="154"/>
      <c r="D46" s="154"/>
      <c r="E46" s="154"/>
    </row>
    <row r="47" spans="1:5" ht="19.5" customHeight="1">
      <c r="A47" s="175" t="s">
        <v>3</v>
      </c>
      <c r="B47" s="176" t="s">
        <v>48</v>
      </c>
      <c r="C47" s="159">
        <f>(C48+C58)+C62</f>
        <v>3246401615</v>
      </c>
      <c r="D47" s="159">
        <f>(D48+D58)+D62</f>
        <v>7808775317</v>
      </c>
      <c r="E47" s="159">
        <f>(E48+E58)+E62</f>
        <v>4821138247</v>
      </c>
    </row>
    <row r="48" spans="1:5" ht="15.75">
      <c r="A48" s="160" t="s">
        <v>31</v>
      </c>
      <c r="B48" s="161" t="s">
        <v>49</v>
      </c>
      <c r="C48" s="165">
        <f>SUM(C49:C57)</f>
        <v>2779409958</v>
      </c>
      <c r="D48" s="165">
        <f>SUM(D49:D57)</f>
        <v>6801999060</v>
      </c>
      <c r="E48" s="165">
        <f>SUM(E49:E57)</f>
        <v>4236186247</v>
      </c>
    </row>
    <row r="49" spans="1:5" ht="15.75">
      <c r="A49" s="154"/>
      <c r="B49" s="163" t="s">
        <v>50</v>
      </c>
      <c r="C49" s="164">
        <v>680000000</v>
      </c>
      <c r="D49" s="164">
        <v>3030000000</v>
      </c>
      <c r="E49" s="164">
        <v>536000000</v>
      </c>
    </row>
    <row r="50" spans="1:5" ht="15.75">
      <c r="A50" s="154"/>
      <c r="B50" s="163" t="s">
        <v>51</v>
      </c>
      <c r="C50" s="164">
        <v>0</v>
      </c>
      <c r="D50" s="164">
        <v>0</v>
      </c>
      <c r="E50" s="164"/>
    </row>
    <row r="51" spans="1:5" ht="15.75">
      <c r="A51" s="154"/>
      <c r="B51" s="163" t="s">
        <v>52</v>
      </c>
      <c r="C51" s="164">
        <v>0</v>
      </c>
      <c r="D51" s="164">
        <v>0</v>
      </c>
      <c r="E51" s="164">
        <v>0</v>
      </c>
    </row>
    <row r="52" spans="1:5" ht="15.75">
      <c r="A52" s="154"/>
      <c r="B52" s="163" t="s">
        <v>53</v>
      </c>
      <c r="C52" s="164">
        <v>2068091558</v>
      </c>
      <c r="D52" s="164">
        <v>3741838996</v>
      </c>
      <c r="E52" s="164">
        <v>3700186247</v>
      </c>
    </row>
    <row r="53" spans="1:5" ht="15.75">
      <c r="A53" s="154"/>
      <c r="B53" s="163" t="s">
        <v>54</v>
      </c>
      <c r="C53" s="164">
        <v>0</v>
      </c>
      <c r="D53" s="164">
        <v>0</v>
      </c>
      <c r="E53" s="164">
        <v>0</v>
      </c>
    </row>
    <row r="54" spans="1:5" ht="15.75">
      <c r="A54" s="154"/>
      <c r="B54" s="163" t="s">
        <v>55</v>
      </c>
      <c r="C54" s="164">
        <v>0</v>
      </c>
      <c r="D54" s="164">
        <v>11706264</v>
      </c>
      <c r="E54" s="164">
        <v>0</v>
      </c>
    </row>
    <row r="55" spans="1:5" ht="15.75">
      <c r="A55" s="154"/>
      <c r="B55" s="163" t="s">
        <v>56</v>
      </c>
      <c r="C55" s="164">
        <v>25661600</v>
      </c>
      <c r="D55" s="164">
        <v>12969800</v>
      </c>
      <c r="E55" s="164">
        <v>0</v>
      </c>
    </row>
    <row r="56" spans="1:5" ht="15.75">
      <c r="A56" s="154"/>
      <c r="B56" s="163" t="s">
        <v>57</v>
      </c>
      <c r="C56" s="164">
        <v>0</v>
      </c>
      <c r="D56" s="164">
        <v>0</v>
      </c>
      <c r="E56" s="164">
        <v>0</v>
      </c>
    </row>
    <row r="57" spans="1:5" ht="15.75">
      <c r="A57" s="154"/>
      <c r="B57" s="163" t="s">
        <v>58</v>
      </c>
      <c r="C57" s="164">
        <v>5656800</v>
      </c>
      <c r="D57" s="164">
        <v>5484000</v>
      </c>
      <c r="E57" s="164">
        <v>0</v>
      </c>
    </row>
    <row r="58" spans="1:5" ht="15.75">
      <c r="A58" s="160" t="s">
        <v>40</v>
      </c>
      <c r="B58" s="161" t="s">
        <v>59</v>
      </c>
      <c r="C58" s="165">
        <f>SUM(C59:C61)</f>
        <v>466991657</v>
      </c>
      <c r="D58" s="165">
        <f>SUM(D59:D61)</f>
        <v>1006776257</v>
      </c>
      <c r="E58" s="165">
        <f>SUM(E59:E61)</f>
        <v>584952000</v>
      </c>
    </row>
    <row r="59" spans="1:5" ht="15.75">
      <c r="A59" s="154"/>
      <c r="B59" s="163" t="s">
        <v>60</v>
      </c>
      <c r="C59" s="164">
        <v>0</v>
      </c>
      <c r="D59" s="164">
        <v>584952000</v>
      </c>
      <c r="E59" s="164">
        <v>584952000</v>
      </c>
    </row>
    <row r="60" spans="1:5" ht="15.75">
      <c r="A60" s="154"/>
      <c r="B60" s="177" t="s">
        <v>59</v>
      </c>
      <c r="C60" s="164">
        <v>466991657</v>
      </c>
      <c r="D60" s="164">
        <v>421824257</v>
      </c>
      <c r="E60" s="164">
        <v>0</v>
      </c>
    </row>
    <row r="61" spans="1:5" ht="15.75">
      <c r="A61" s="154"/>
      <c r="B61" s="177" t="s">
        <v>61</v>
      </c>
      <c r="C61" s="164">
        <v>0</v>
      </c>
      <c r="D61" s="164">
        <v>0</v>
      </c>
      <c r="E61" s="164">
        <v>0</v>
      </c>
    </row>
    <row r="62" spans="1:5" ht="15.75">
      <c r="A62" s="160" t="s">
        <v>42</v>
      </c>
      <c r="B62" s="161" t="s">
        <v>62</v>
      </c>
      <c r="C62" s="165">
        <v>0</v>
      </c>
      <c r="D62" s="165">
        <v>0</v>
      </c>
      <c r="E62" s="165">
        <v>0</v>
      </c>
    </row>
    <row r="63" spans="1:5" ht="20.25" customHeight="1">
      <c r="A63" s="175" t="s">
        <v>29</v>
      </c>
      <c r="B63" s="176" t="s">
        <v>63</v>
      </c>
      <c r="C63" s="159">
        <f>SUM(C64:C72)</f>
        <v>386355974</v>
      </c>
      <c r="D63" s="159">
        <f>SUM(D64:D72)</f>
        <v>3113905794</v>
      </c>
      <c r="E63" s="159">
        <f>SUM(E64:E72)</f>
        <v>6257726183</v>
      </c>
    </row>
    <row r="64" spans="1:5" ht="15.75">
      <c r="A64" s="154"/>
      <c r="B64" s="163" t="s">
        <v>64</v>
      </c>
      <c r="C64" s="164">
        <v>350000000</v>
      </c>
      <c r="D64" s="164">
        <v>3000000000</v>
      </c>
      <c r="E64" s="164">
        <v>6000000000</v>
      </c>
    </row>
    <row r="65" spans="1:5" ht="15.75">
      <c r="A65" s="154"/>
      <c r="B65" s="163" t="s">
        <v>65</v>
      </c>
      <c r="C65" s="164">
        <v>0</v>
      </c>
      <c r="D65" s="164">
        <v>0</v>
      </c>
      <c r="E65" s="164">
        <v>0</v>
      </c>
    </row>
    <row r="66" spans="1:5" ht="15.75">
      <c r="A66" s="154"/>
      <c r="B66" s="177" t="s">
        <v>66</v>
      </c>
      <c r="C66" s="164">
        <v>0</v>
      </c>
      <c r="D66" s="164">
        <v>0</v>
      </c>
      <c r="E66" s="164">
        <v>0</v>
      </c>
    </row>
    <row r="67" spans="1:5" ht="15.75">
      <c r="A67" s="154"/>
      <c r="B67" s="177" t="s">
        <v>67</v>
      </c>
      <c r="C67" s="164">
        <v>0</v>
      </c>
      <c r="D67" s="164">
        <v>0</v>
      </c>
      <c r="E67" s="164">
        <v>0</v>
      </c>
    </row>
    <row r="68" spans="1:5" ht="15.75">
      <c r="A68" s="154"/>
      <c r="B68" s="177" t="s">
        <v>68</v>
      </c>
      <c r="C68" s="164">
        <v>0</v>
      </c>
      <c r="D68" s="164">
        <v>0</v>
      </c>
      <c r="E68" s="164">
        <v>0</v>
      </c>
    </row>
    <row r="69" spans="1:5" ht="15.75">
      <c r="A69" s="154"/>
      <c r="B69" s="177" t="s">
        <v>69</v>
      </c>
      <c r="C69" s="164">
        <v>0</v>
      </c>
      <c r="D69" s="164">
        <v>0</v>
      </c>
      <c r="E69" s="164">
        <v>0</v>
      </c>
    </row>
    <row r="70" spans="1:5" ht="15.75">
      <c r="A70" s="154"/>
      <c r="B70" s="163" t="s">
        <v>70</v>
      </c>
      <c r="C70" s="164">
        <v>0</v>
      </c>
      <c r="D70" s="164">
        <v>0</v>
      </c>
      <c r="E70" s="164">
        <v>0</v>
      </c>
    </row>
    <row r="71" spans="1:5" ht="15.75">
      <c r="A71" s="154"/>
      <c r="B71" s="163" t="s">
        <v>71</v>
      </c>
      <c r="C71" s="164">
        <v>0</v>
      </c>
      <c r="D71" s="164">
        <v>0</v>
      </c>
      <c r="E71" s="164">
        <v>0</v>
      </c>
    </row>
    <row r="72" spans="1:5" ht="15.75">
      <c r="A72" s="154"/>
      <c r="B72" s="163" t="s">
        <v>72</v>
      </c>
      <c r="C72" s="164">
        <v>36355974</v>
      </c>
      <c r="D72" s="164">
        <v>113905794</v>
      </c>
      <c r="E72" s="164">
        <v>257726183</v>
      </c>
    </row>
    <row r="73" spans="1:5" ht="15.75">
      <c r="A73" s="178"/>
      <c r="B73" s="172" t="s">
        <v>73</v>
      </c>
      <c r="C73" s="179">
        <f>C63+C47</f>
        <v>3632757589</v>
      </c>
      <c r="D73" s="179">
        <f>D63+D47</f>
        <v>10922681111</v>
      </c>
      <c r="E73" s="179">
        <f>E63+E47</f>
        <v>11078864430</v>
      </c>
    </row>
  </sheetData>
  <sheetProtection/>
  <mergeCells count="1">
    <mergeCell ref="A1:E1"/>
  </mergeCells>
  <conditionalFormatting sqref="C3:E3">
    <cfRule type="cellIs" priority="1" dxfId="0" operator="notEqual" stopIfTrue="1">
      <formula>0</formula>
    </cfRule>
  </conditionalFormatting>
  <printOptions/>
  <pageMargins left="0.3" right="0.14" top="0.42" bottom="0.2"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D24"/>
  <sheetViews>
    <sheetView showGridLines="0" zoomScalePageLayoutView="0" workbookViewId="0" topLeftCell="A1">
      <selection activeCell="B15" sqref="B15"/>
    </sheetView>
  </sheetViews>
  <sheetFormatPr defaultColWidth="9.140625" defaultRowHeight="15" customHeight="1"/>
  <cols>
    <col min="1" max="1" width="26.28125" style="0" customWidth="1"/>
    <col min="2" max="2" width="17.28125" style="0" customWidth="1"/>
    <col min="3" max="3" width="21.00390625" style="0" customWidth="1"/>
    <col min="4" max="4" width="19.00390625" style="0" customWidth="1"/>
  </cols>
  <sheetData>
    <row r="1" spans="1:4" ht="18.75" customHeight="1">
      <c r="A1" s="199"/>
      <c r="B1" s="199"/>
      <c r="C1" s="199"/>
      <c r="D1" s="199"/>
    </row>
    <row r="2" ht="26.25" customHeight="1" thickBot="1"/>
    <row r="3" spans="1:4" ht="30" customHeight="1" thickBot="1" thickTop="1">
      <c r="A3" s="195" t="s">
        <v>140</v>
      </c>
      <c r="B3" s="196" t="s">
        <v>295</v>
      </c>
      <c r="C3" s="196" t="s">
        <v>296</v>
      </c>
      <c r="D3" s="197" t="s">
        <v>297</v>
      </c>
    </row>
    <row r="4" spans="1:4" ht="30" customHeight="1" thickTop="1">
      <c r="A4" s="192" t="s">
        <v>74</v>
      </c>
      <c r="B4" s="193">
        <v>5432551340</v>
      </c>
      <c r="C4" s="193">
        <v>14129040317</v>
      </c>
      <c r="D4" s="194">
        <v>25524395235</v>
      </c>
    </row>
    <row r="5" spans="1:4" ht="30" customHeight="1">
      <c r="A5" s="183" t="s">
        <v>75</v>
      </c>
      <c r="B5" s="180">
        <v>0</v>
      </c>
      <c r="C5" s="180">
        <v>0</v>
      </c>
      <c r="D5" s="184">
        <v>0</v>
      </c>
    </row>
    <row r="6" spans="1:4" ht="30" customHeight="1">
      <c r="A6" s="183" t="s">
        <v>76</v>
      </c>
      <c r="B6" s="180">
        <v>4837890980</v>
      </c>
      <c r="C6" s="180">
        <v>12660707196</v>
      </c>
      <c r="D6" s="184">
        <v>22871821948</v>
      </c>
    </row>
    <row r="7" spans="1:4" ht="30" customHeight="1">
      <c r="A7" s="183" t="s">
        <v>77</v>
      </c>
      <c r="B7" s="180"/>
      <c r="C7" s="180"/>
      <c r="D7" s="184"/>
    </row>
    <row r="8" spans="1:4" ht="30" customHeight="1">
      <c r="A8" s="185" t="s">
        <v>78</v>
      </c>
      <c r="B8" s="181">
        <f>(B4-B5)-B6</f>
        <v>594660360</v>
      </c>
      <c r="C8" s="181">
        <f>C4-C6</f>
        <v>1468333121</v>
      </c>
      <c r="D8" s="186">
        <f>D4-D6</f>
        <v>2652573287</v>
      </c>
    </row>
    <row r="9" spans="1:4" ht="30" customHeight="1">
      <c r="A9" s="183" t="s">
        <v>79</v>
      </c>
      <c r="B9" s="180">
        <v>502992280</v>
      </c>
      <c r="C9" s="180">
        <v>1036842039</v>
      </c>
      <c r="D9" s="184">
        <v>2029554746</v>
      </c>
    </row>
    <row r="10" spans="1:4" ht="30" customHeight="1">
      <c r="A10" s="185" t="s">
        <v>80</v>
      </c>
      <c r="B10" s="181">
        <f>B8-B9</f>
        <v>91668080</v>
      </c>
      <c r="C10" s="181">
        <f>C8-C9</f>
        <v>431491082</v>
      </c>
      <c r="D10" s="186">
        <f>D8-D9</f>
        <v>623018541</v>
      </c>
    </row>
    <row r="11" spans="1:4" ht="30" customHeight="1">
      <c r="A11" s="185" t="s">
        <v>81</v>
      </c>
      <c r="B11" s="182">
        <f>B12-B13</f>
        <v>-60146000</v>
      </c>
      <c r="C11" s="182">
        <f>C12-C13</f>
        <v>-328265834</v>
      </c>
      <c r="D11" s="187">
        <f>D12-D13</f>
        <v>-423268000</v>
      </c>
    </row>
    <row r="12" spans="1:4" ht="30" customHeight="1">
      <c r="A12" s="183" t="s">
        <v>82</v>
      </c>
      <c r="B12" s="180">
        <v>0</v>
      </c>
      <c r="C12" s="180">
        <v>0</v>
      </c>
      <c r="D12" s="184">
        <v>3500000</v>
      </c>
    </row>
    <row r="13" spans="1:4" ht="30" customHeight="1">
      <c r="A13" s="183" t="s">
        <v>83</v>
      </c>
      <c r="B13" s="180">
        <v>60146000</v>
      </c>
      <c r="C13" s="180">
        <v>328265834</v>
      </c>
      <c r="D13" s="184">
        <v>426768000</v>
      </c>
    </row>
    <row r="14" spans="1:4" ht="30" customHeight="1">
      <c r="A14" s="185" t="s">
        <v>84</v>
      </c>
      <c r="B14" s="182">
        <f>B15-B16</f>
        <v>92286</v>
      </c>
      <c r="C14" s="182">
        <f>C15-C16</f>
        <v>4482836</v>
      </c>
      <c r="D14" s="187">
        <f>D15-D16</f>
        <v>0</v>
      </c>
    </row>
    <row r="15" spans="1:4" ht="30" customHeight="1">
      <c r="A15" s="183" t="s">
        <v>85</v>
      </c>
      <c r="B15" s="180">
        <v>143250</v>
      </c>
      <c r="C15" s="180">
        <v>4482841</v>
      </c>
      <c r="D15" s="184">
        <v>0</v>
      </c>
    </row>
    <row r="16" spans="1:4" ht="30" customHeight="1">
      <c r="A16" s="183" t="s">
        <v>86</v>
      </c>
      <c r="B16" s="180">
        <v>50964</v>
      </c>
      <c r="C16" s="180">
        <v>5</v>
      </c>
      <c r="D16" s="184">
        <v>0</v>
      </c>
    </row>
    <row r="17" spans="1:4" ht="30" customHeight="1">
      <c r="A17" s="185" t="s">
        <v>87</v>
      </c>
      <c r="B17" s="181">
        <f>(B10+B11)+B14</f>
        <v>31614366</v>
      </c>
      <c r="C17" s="181">
        <f>(C10+C11)+C14</f>
        <v>107708084</v>
      </c>
      <c r="D17" s="186">
        <f>(D10+D11)+D14</f>
        <v>199750541</v>
      </c>
    </row>
    <row r="18" spans="1:4" ht="30" customHeight="1">
      <c r="A18" s="183" t="s">
        <v>88</v>
      </c>
      <c r="B18" s="180">
        <v>8871622</v>
      </c>
      <c r="C18" s="180">
        <f>+C17*0.28</f>
        <v>30158263.520000003</v>
      </c>
      <c r="D18" s="184">
        <v>55930151</v>
      </c>
    </row>
    <row r="19" spans="1:4" ht="30" customHeight="1">
      <c r="A19" s="185" t="s">
        <v>89</v>
      </c>
      <c r="B19" s="181">
        <f>B17-B18</f>
        <v>22742744</v>
      </c>
      <c r="C19" s="181">
        <f>C17-C18</f>
        <v>77549820.47999999</v>
      </c>
      <c r="D19" s="186">
        <f>D17-D18</f>
        <v>143820390</v>
      </c>
    </row>
    <row r="20" spans="1:4" ht="30" customHeight="1">
      <c r="A20" s="183" t="s">
        <v>90</v>
      </c>
      <c r="B20" s="180"/>
      <c r="C20" s="180"/>
      <c r="D20" s="184"/>
    </row>
    <row r="21" spans="1:4" ht="30" customHeight="1">
      <c r="A21" s="183" t="s">
        <v>91</v>
      </c>
      <c r="B21" s="180"/>
      <c r="C21" s="180"/>
      <c r="D21" s="184"/>
    </row>
    <row r="22" spans="1:4" ht="30" customHeight="1">
      <c r="A22" s="183" t="s">
        <v>92</v>
      </c>
      <c r="B22" s="180"/>
      <c r="C22" s="180"/>
      <c r="D22" s="184"/>
    </row>
    <row r="23" spans="1:4" ht="30" customHeight="1" thickBot="1">
      <c r="A23" s="188" t="s">
        <v>93</v>
      </c>
      <c r="B23" s="189"/>
      <c r="C23" s="190"/>
      <c r="D23" s="191">
        <f>15000000000/21450</f>
        <v>699300.6993006993</v>
      </c>
    </row>
    <row r="24" ht="15" customHeight="1" thickTop="1">
      <c r="D24">
        <v>9</v>
      </c>
    </row>
  </sheetData>
  <sheetProtection/>
  <mergeCells count="1">
    <mergeCell ref="A1:D1"/>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B1:I31"/>
  <sheetViews>
    <sheetView showGridLines="0" zoomScalePageLayoutView="0" workbookViewId="0" topLeftCell="A4">
      <selection activeCell="H36" sqref="H36"/>
    </sheetView>
  </sheetViews>
  <sheetFormatPr defaultColWidth="9.140625" defaultRowHeight="15.75" customHeight="1"/>
  <cols>
    <col min="1" max="1" width="4.8515625" style="0" customWidth="1"/>
    <col min="2" max="2" width="35.140625" style="0" customWidth="1"/>
    <col min="3" max="3" width="3.00390625" style="0" customWidth="1"/>
    <col min="4" max="4" width="44.57421875" style="0" customWidth="1"/>
    <col min="6" max="6" width="17.421875" style="0" customWidth="1"/>
    <col min="7" max="8" width="18.8515625" style="0" customWidth="1"/>
  </cols>
  <sheetData>
    <row r="1" spans="2:7" ht="22.5" customHeight="1">
      <c r="B1" s="198" t="s">
        <v>94</v>
      </c>
      <c r="C1" s="200"/>
      <c r="D1" s="200"/>
      <c r="E1" s="200"/>
      <c r="F1" s="200"/>
      <c r="G1" s="200"/>
    </row>
    <row r="3" spans="2:8" ht="15.75">
      <c r="B3" s="119"/>
      <c r="C3" s="119"/>
      <c r="D3" s="111" t="s">
        <v>95</v>
      </c>
      <c r="E3" s="104"/>
      <c r="F3" s="97" t="s">
        <v>298</v>
      </c>
      <c r="G3" s="97" t="s">
        <v>299</v>
      </c>
      <c r="H3" s="97" t="s">
        <v>300</v>
      </c>
    </row>
    <row r="4" spans="2:8" ht="12.75">
      <c r="B4" s="17"/>
      <c r="C4" s="17"/>
      <c r="D4" s="17"/>
      <c r="E4" s="17"/>
      <c r="F4" s="17"/>
      <c r="G4" s="17"/>
      <c r="H4" s="17"/>
    </row>
    <row r="5" spans="2:8" ht="15.75">
      <c r="B5" s="201" t="s">
        <v>96</v>
      </c>
      <c r="D5" s="109" t="s">
        <v>97</v>
      </c>
      <c r="F5" s="73"/>
      <c r="G5" s="73"/>
      <c r="H5" s="73"/>
    </row>
    <row r="6" spans="2:9" ht="15.75">
      <c r="B6" s="200"/>
      <c r="D6" s="30" t="s">
        <v>98</v>
      </c>
      <c r="E6" s="67"/>
      <c r="F6" s="54">
        <f>(F8*F14)*F22</f>
        <v>0.026322091215988483</v>
      </c>
      <c r="G6" s="54">
        <f>(G8*G14)*G22</f>
        <v>0.014883617746338574</v>
      </c>
      <c r="H6" s="54">
        <f>(H8*H14)*H22</f>
        <v>0.0043299559725898315</v>
      </c>
      <c r="I6" s="98"/>
    </row>
    <row r="7" spans="2:8" ht="15.75">
      <c r="B7" s="5" t="s">
        <v>99</v>
      </c>
      <c r="C7" s="73"/>
      <c r="D7" s="119"/>
      <c r="E7" s="73"/>
      <c r="F7" s="70"/>
      <c r="G7" s="70"/>
      <c r="H7" s="70"/>
    </row>
    <row r="8" spans="2:9" ht="15.75">
      <c r="B8" s="56" t="s">
        <v>100</v>
      </c>
      <c r="C8" s="23"/>
      <c r="D8" s="53" t="s">
        <v>101</v>
      </c>
      <c r="E8" s="134"/>
      <c r="F8" s="127">
        <f>'Bao cao KQKD'!B19/'Bao cao KQKD'!B4</f>
        <v>0.004186383630200539</v>
      </c>
      <c r="G8" s="127">
        <f>'Bao cao KQKD'!C19/'Bao cao KQKD'!C4</f>
        <v>0.005488682793741651</v>
      </c>
      <c r="H8" s="127">
        <f>'Bao cao KQKD'!D19/'Bao cao KQKD'!D4</f>
        <v>0.005634624784480227</v>
      </c>
      <c r="I8" s="98"/>
    </row>
    <row r="9" spans="2:9" ht="15.75">
      <c r="B9" s="109" t="s">
        <v>102</v>
      </c>
      <c r="D9" s="147"/>
      <c r="E9" s="134"/>
      <c r="F9" s="134">
        <v>0</v>
      </c>
      <c r="G9" s="134">
        <v>0</v>
      </c>
      <c r="H9" s="134">
        <v>1</v>
      </c>
      <c r="I9" s="98"/>
    </row>
    <row r="10" spans="2:9" ht="15.75">
      <c r="B10" s="109" t="s">
        <v>103</v>
      </c>
      <c r="D10" s="147" t="s">
        <v>104</v>
      </c>
      <c r="E10" s="128"/>
      <c r="F10" s="134">
        <f>('Bao cao KQKD'!B6*100)/'Bao cao KQKD'!B4</f>
        <v>89.05375535760699</v>
      </c>
      <c r="G10" s="134">
        <f>('Bao cao KQKD'!C6*100)/'Bao cao KQKD'!C4</f>
        <v>89.60769388396955</v>
      </c>
      <c r="H10" s="134">
        <f>('Bao cao KQKD'!D6*100)/'Bao cao KQKD'!D4</f>
        <v>89.60769388430919</v>
      </c>
      <c r="I10" s="98"/>
    </row>
    <row r="11" spans="2:9" ht="15.75">
      <c r="B11" s="109" t="s">
        <v>105</v>
      </c>
      <c r="D11" s="147" t="s">
        <v>106</v>
      </c>
      <c r="E11" s="39"/>
      <c r="F11" s="134">
        <f>('Bao cao KQKD'!B8*100)/'Bao cao KQKD'!B4</f>
        <v>10.946244642393015</v>
      </c>
      <c r="G11" s="134">
        <f>('Bao cao KQKD'!C8*100)/'Bao cao KQKD'!C4</f>
        <v>10.392306116030456</v>
      </c>
      <c r="H11" s="134">
        <f>('Bao cao KQKD'!D8*100)/'Bao cao KQKD'!D4</f>
        <v>10.392306115690815</v>
      </c>
      <c r="I11" s="98"/>
    </row>
    <row r="12" spans="2:9" ht="15.75">
      <c r="B12" s="109" t="s">
        <v>107</v>
      </c>
      <c r="D12" s="147" t="s">
        <v>108</v>
      </c>
      <c r="E12" s="39"/>
      <c r="F12" s="134">
        <f>('Bao cao KQKD'!B9*100)/'Bao cao KQKD'!B4</f>
        <v>9.258859208498524</v>
      </c>
      <c r="G12" s="134">
        <f>('Bao cao KQKD'!C9*100)/'Bao cao KQKD'!C4</f>
        <v>7.3383755424101675</v>
      </c>
      <c r="H12" s="134">
        <f>('Bao cao KQKD'!D9*100)/'Bao cao KQKD'!D4</f>
        <v>7.951431277074879</v>
      </c>
      <c r="I12" s="98"/>
    </row>
    <row r="13" spans="2:8" ht="15.75">
      <c r="B13" s="111" t="s">
        <v>109</v>
      </c>
      <c r="C13" s="111"/>
      <c r="D13" s="73"/>
      <c r="F13" s="100"/>
      <c r="G13" s="100"/>
      <c r="H13" s="100"/>
    </row>
    <row r="14" spans="2:9" ht="15.75">
      <c r="B14" s="56" t="s">
        <v>110</v>
      </c>
      <c r="C14" s="23"/>
      <c r="D14" s="53" t="s">
        <v>111</v>
      </c>
      <c r="E14" s="65"/>
      <c r="F14" s="93">
        <f>'Bang can doi KT'!C43/'Bao cao KQKD'!B4</f>
        <v>0.6687019342554432</v>
      </c>
      <c r="G14" s="93">
        <f>'Bang can doi KT'!D43/'Bao cao KQKD'!C4</f>
        <v>0.7730660303840932</v>
      </c>
      <c r="H14" s="93">
        <f>'Bang can doi KT'!E43/'Bao cao KQKD'!D4</f>
        <v>0.43405002657254926</v>
      </c>
      <c r="I14" s="138"/>
    </row>
    <row r="15" spans="2:9" ht="15.75">
      <c r="B15" s="109" t="s">
        <v>112</v>
      </c>
      <c r="D15" s="147" t="s">
        <v>113</v>
      </c>
      <c r="E15" s="41"/>
      <c r="F15" s="14">
        <f>(('Bang can doi KT'!C63+'Bang can doi KT'!C59)-'Bang can doi KT'!C28)-'Bang can doi KT'!C42</f>
        <v>-93035772</v>
      </c>
      <c r="G15" s="14">
        <f>(('Bang can doi KT'!D63+'Bang can doi KT'!D59)-'Bang can doi KT'!D28)-'Bang can doi KT'!D42</f>
        <v>3114384476</v>
      </c>
      <c r="H15" s="14">
        <f>(('Bang can doi KT'!E63+'Bang can doi KT'!E59)-'Bang can doi KT'!E28)-'Bang can doi KT'!E42</f>
        <v>6292451211</v>
      </c>
      <c r="I15" s="98"/>
    </row>
    <row r="16" spans="2:9" ht="15.75">
      <c r="B16" s="59" t="s">
        <v>114</v>
      </c>
      <c r="D16" s="12" t="s">
        <v>115</v>
      </c>
      <c r="E16" s="86"/>
      <c r="F16" s="99">
        <f>'Bang can doi KT'!C52-'Bang can doi KT'!C10</f>
        <v>1569753363</v>
      </c>
      <c r="G16" s="99">
        <f>'Bang can doi KT'!D52-'Bang can doi KT'!D10</f>
        <v>2254754532</v>
      </c>
      <c r="H16" s="99">
        <f>'Bang can doi KT'!E52-'Bang can doi KT'!E10</f>
        <v>2397927836</v>
      </c>
      <c r="I16" s="98"/>
    </row>
    <row r="17" spans="2:9" ht="15.75">
      <c r="B17" s="109" t="s">
        <v>116</v>
      </c>
      <c r="D17" s="147" t="s">
        <v>117</v>
      </c>
      <c r="E17" s="39"/>
      <c r="F17" s="134">
        <f>('Bang can doi KT'!C9*360)/'Bao cao KQKD'!B4</f>
        <v>40.845583497053525</v>
      </c>
      <c r="G17" s="134">
        <f>('Bang can doi KT'!D9*360)/'Bao cao KQKD'!C4</f>
        <v>45.602192119500344</v>
      </c>
      <c r="H17" s="134">
        <f>('Bang can doi KT'!E9*360)/'Bao cao KQKD'!D4</f>
        <v>22.800521211252118</v>
      </c>
      <c r="I17" s="98"/>
    </row>
    <row r="18" spans="2:9" ht="15.75">
      <c r="B18" s="109" t="s">
        <v>118</v>
      </c>
      <c r="D18" s="147" t="s">
        <v>119</v>
      </c>
      <c r="E18" s="39"/>
      <c r="F18" s="134">
        <f>('Bang can doi KT'!C16*360)/'Bao cao KQKD'!B6</f>
        <v>171.69453314964943</v>
      </c>
      <c r="G18" s="134">
        <f>('Bang can doi KT'!D16*360)/'Bao cao KQKD'!C6</f>
        <v>234.10319948449742</v>
      </c>
      <c r="H18" s="134">
        <f>('Bang can doi KT'!E16*360)/'Bao cao KQKD'!D6</f>
        <v>133.89513506893098</v>
      </c>
      <c r="I18" s="98"/>
    </row>
    <row r="19" spans="2:9" ht="15.75">
      <c r="B19" s="119" t="s">
        <v>120</v>
      </c>
      <c r="C19" s="73"/>
      <c r="D19" s="28" t="s">
        <v>121</v>
      </c>
      <c r="E19" s="39"/>
      <c r="F19" s="134">
        <f>('Bang can doi KT'!C52*360)/'Bao cao KQKD'!B6</f>
        <v>153.89205006021032</v>
      </c>
      <c r="G19" s="134">
        <f>('Bang can doi KT'!D52*360)/'Bao cao KQKD'!C6</f>
        <v>106.39706121515773</v>
      </c>
      <c r="H19" s="134">
        <f>('Bang can doi KT'!E52*360)/'Bao cao KQKD'!D6</f>
        <v>58.24053072590839</v>
      </c>
      <c r="I19" s="98"/>
    </row>
    <row r="20" spans="2:9" ht="15.75">
      <c r="B20" s="47" t="s">
        <v>122</v>
      </c>
      <c r="C20" s="47"/>
      <c r="D20" s="88" t="s">
        <v>122</v>
      </c>
      <c r="E20" s="39">
        <f>SUM(E17:E19)</f>
        <v>0</v>
      </c>
      <c r="F20" s="134">
        <f>F17+F18</f>
        <v>212.54011664670296</v>
      </c>
      <c r="G20" s="134">
        <f>G17+G18</f>
        <v>279.7053916039978</v>
      </c>
      <c r="H20" s="134">
        <f>H17+H18</f>
        <v>156.6956562801831</v>
      </c>
      <c r="I20" s="98"/>
    </row>
    <row r="21" spans="2:8" ht="15.75">
      <c r="B21" s="75" t="s">
        <v>123</v>
      </c>
      <c r="C21" s="70"/>
      <c r="D21" s="70"/>
      <c r="F21" s="100"/>
      <c r="G21" s="100"/>
      <c r="H21" s="100"/>
    </row>
    <row r="22" spans="2:9" ht="15.75">
      <c r="B22" s="56" t="s">
        <v>124</v>
      </c>
      <c r="C22" s="23"/>
      <c r="D22" s="53" t="s">
        <v>125</v>
      </c>
      <c r="E22" s="39"/>
      <c r="F22" s="54">
        <f>'Bang can doi KT'!C43/'Bang can doi KT'!C63</f>
        <v>9.402617879541317</v>
      </c>
      <c r="G22" s="54">
        <f>'Bang can doi KT'!D43/'Bang can doi KT'!D63</f>
        <v>3.507710840850184</v>
      </c>
      <c r="H22" s="54">
        <f>'Bang can doi KT'!E43/'Bang can doi KT'!E63</f>
        <v>1.7704297225559829</v>
      </c>
      <c r="I22" s="98"/>
    </row>
    <row r="23" spans="2:9" ht="15.75">
      <c r="B23" s="109" t="s">
        <v>126</v>
      </c>
      <c r="D23" s="147" t="s">
        <v>127</v>
      </c>
      <c r="E23" s="39"/>
      <c r="F23" s="54">
        <f>IF(('Bang can doi KT'!C48=0),0,(('Bang can doi KT'!C6+'Bang can doi KT'!C9)/'Bang can doi KT'!C48))</f>
        <v>0.3653123405122376</v>
      </c>
      <c r="G23" s="54">
        <f>IF(('Bang can doi KT'!D48=0),0,(('Bang can doi KT'!D6+'Bang can doi KT'!D9)/'Bang can doi KT'!D48))</f>
        <v>0.30948530166365534</v>
      </c>
      <c r="H23" s="54">
        <f>IF(('Bang can doi KT'!E48=0),0,(('Bang can doi KT'!E6+'Bang can doi KT'!E9)/'Bang can doi KT'!E48))</f>
        <v>0.48539996853448075</v>
      </c>
      <c r="I23" s="98"/>
    </row>
    <row r="24" spans="2:9" ht="15.75">
      <c r="B24" s="109" t="s">
        <v>128</v>
      </c>
      <c r="D24" s="147" t="s">
        <v>129</v>
      </c>
      <c r="E24" s="39"/>
      <c r="F24" s="54">
        <f>IF(('Bang can doi KT'!C48=0),0,(('Bang can doi KT'!C6+'Bang can doi KT'!C9)/'Bang can doi KT'!C48))</f>
        <v>0.3653123405122376</v>
      </c>
      <c r="G24" s="54">
        <f>IF(('Bang can doi KT'!D48=0),0,(('Bang can doi KT'!D6+'Bang can doi KT'!D9)/'Bang can doi KT'!D48))</f>
        <v>0.30948530166365534</v>
      </c>
      <c r="H24" s="54">
        <f>IF(('Bang can doi KT'!E48=0),0,(('Bang can doi KT'!E6+'Bang can doi KT'!E9)/'Bang can doi KT'!E48))</f>
        <v>0.48539996853448075</v>
      </c>
      <c r="I24" s="98"/>
    </row>
    <row r="25" spans="2:9" ht="15.75">
      <c r="B25" s="109" t="s">
        <v>130</v>
      </c>
      <c r="D25" s="147" t="s">
        <v>131</v>
      </c>
      <c r="E25" s="39"/>
      <c r="F25" s="54">
        <f>IF(('Bang can doi KT'!C48=0),0,((('Bang can doi KT'!C6+'Bang can doi KT'!C9)+'Bang can doi KT'!C16)/'Bang can doi KT'!C48))</f>
        <v>1.1954639891953642</v>
      </c>
      <c r="G25" s="54">
        <f>IF(('Bang can doi KT'!D48=0),0,((('Bang can doi KT'!D6+'Bang can doi KT'!D9)+'Bang can doi KT'!D16)/'Bang can doi KT'!D48))</f>
        <v>1.519877862641163</v>
      </c>
      <c r="H25" s="54">
        <f>IF(('Bang can doi KT'!E48=0),0,((('Bang can doi KT'!E6+'Bang can doi KT'!E9)+'Bang can doi KT'!E16)/'Bang can doi KT'!E48))</f>
        <v>2.493512343438756</v>
      </c>
      <c r="I25" s="98"/>
    </row>
    <row r="26" spans="2:9" ht="15.75">
      <c r="B26" s="109" t="s">
        <v>132</v>
      </c>
      <c r="D26" s="147" t="s">
        <v>133</v>
      </c>
      <c r="E26" s="39"/>
      <c r="F26" s="54">
        <f>'Bang can doi KT'!C47/'Bang can doi KT'!C73</f>
        <v>0.8936466404557555</v>
      </c>
      <c r="G26" s="54">
        <f>'Bang can doi KT'!D47/'Bang can doi KT'!D73</f>
        <v>0.7149137869763449</v>
      </c>
      <c r="H26" s="54">
        <f>'Bang can doi KT'!E47/'Bang can doi KT'!E73</f>
        <v>0.43516537976085695</v>
      </c>
      <c r="I26" s="98"/>
    </row>
    <row r="27" spans="2:9" ht="15.75">
      <c r="B27" s="109" t="s">
        <v>134</v>
      </c>
      <c r="D27" s="147" t="s">
        <v>135</v>
      </c>
      <c r="E27" s="39"/>
      <c r="F27" s="54">
        <f>'Bang can doi KT'!C63/'Bang can doi KT'!C73</f>
        <v>0.10635335954424456</v>
      </c>
      <c r="G27" s="54">
        <f>'Bang can doi KT'!D63/'Bang can doi KT'!D73</f>
        <v>0.2850862130236551</v>
      </c>
      <c r="H27" s="54">
        <f>'Bang can doi KT'!E63/'Bang can doi KT'!E73</f>
        <v>0.564834620239143</v>
      </c>
      <c r="I27" s="98"/>
    </row>
    <row r="28" spans="2:9" ht="15.75">
      <c r="B28" s="109" t="s">
        <v>136</v>
      </c>
      <c r="D28" s="67"/>
      <c r="E28" s="39"/>
      <c r="F28" s="54">
        <f>'Bang can doi KT'!C48/'Bang can doi KT'!C73</f>
        <v>0.7650964563162874</v>
      </c>
      <c r="G28" s="54">
        <f>'Bang can doi KT'!D48/'Bang can doi KT'!D73</f>
        <v>0.6227407896354176</v>
      </c>
      <c r="H28" s="54">
        <f>'Bang can doi KT'!E48/'Bang can doi KT'!E73</f>
        <v>0.38236646668669455</v>
      </c>
      <c r="I28" s="98"/>
    </row>
    <row r="29" spans="2:9" ht="15.75">
      <c r="B29" s="109" t="s">
        <v>137</v>
      </c>
      <c r="D29" s="67"/>
      <c r="E29" s="39"/>
      <c r="F29" s="54">
        <f>'Bang can doi KT'!C58/'Bang can doi KT'!C73</f>
        <v>0.12855018413946806</v>
      </c>
      <c r="G29" s="54">
        <f>'Bang can doi KT'!D58/'Bang can doi KT'!D73</f>
        <v>0.09217299734092732</v>
      </c>
      <c r="H29" s="54">
        <f>'Bang can doi KT'!E58/'Bang can doi KT'!E73</f>
        <v>0.05279891307416242</v>
      </c>
      <c r="I29" s="98"/>
    </row>
    <row r="30" spans="2:9" ht="15.75">
      <c r="B30" s="119" t="s">
        <v>138</v>
      </c>
      <c r="C30" s="119"/>
      <c r="D30" s="28"/>
      <c r="E30" s="39"/>
      <c r="F30" s="54">
        <f>('Bang can doi KT'!C58+'Bang can doi KT'!C63)/'Bang can doi KT'!C29</f>
        <v>6.062671085237833</v>
      </c>
      <c r="G30" s="54">
        <f>('Bang can doi KT'!D58+'Bang can doi KT'!D63)/'Bang can doi KT'!D29</f>
        <v>7.0502483588138745</v>
      </c>
      <c r="H30" s="54">
        <f>('Bang can doi KT'!E58+'Bang can doi KT'!E63)/'Bang can doi KT'!E29</f>
        <v>14.210092567936949</v>
      </c>
      <c r="I30" s="98"/>
    </row>
    <row r="31" spans="2:8" ht="15.75">
      <c r="B31" s="17"/>
      <c r="C31" s="17"/>
      <c r="D31" s="17"/>
      <c r="F31" s="68"/>
      <c r="G31" s="68"/>
      <c r="H31" s="68"/>
    </row>
  </sheetData>
  <sheetProtection/>
  <mergeCells count="2">
    <mergeCell ref="B1:G1"/>
    <mergeCell ref="B5:B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G41"/>
  <sheetViews>
    <sheetView showGridLines="0" zoomScalePageLayoutView="0" workbookViewId="0" topLeftCell="A16">
      <selection activeCell="B46" sqref="B46"/>
    </sheetView>
  </sheetViews>
  <sheetFormatPr defaultColWidth="9.140625" defaultRowHeight="15.75" customHeight="1"/>
  <cols>
    <col min="1" max="1" width="1.8515625" style="0" customWidth="1"/>
    <col min="2" max="2" width="37.00390625" style="0" customWidth="1"/>
    <col min="4" max="4" width="20.140625" style="0" customWidth="1"/>
    <col min="5" max="5" width="19.140625" style="0" customWidth="1"/>
    <col min="6" max="6" width="19.421875" style="0" customWidth="1"/>
    <col min="7" max="7" width="21.00390625" style="0" customWidth="1"/>
  </cols>
  <sheetData>
    <row r="1" spans="1:7" ht="25.5" customHeight="1">
      <c r="A1" s="67"/>
      <c r="B1" s="202" t="s">
        <v>139</v>
      </c>
      <c r="C1" s="203"/>
      <c r="D1" s="203"/>
      <c r="E1" s="203"/>
      <c r="F1" s="204"/>
      <c r="G1" s="98"/>
    </row>
    <row r="2" spans="1:7" ht="15.75">
      <c r="A2" s="67"/>
      <c r="B2" s="42" t="s">
        <v>140</v>
      </c>
      <c r="C2" s="79"/>
      <c r="D2" s="46" t="s">
        <v>298</v>
      </c>
      <c r="E2" s="46" t="s">
        <v>299</v>
      </c>
      <c r="F2" s="112" t="s">
        <v>300</v>
      </c>
      <c r="G2" s="98"/>
    </row>
    <row r="3" spans="1:6" ht="24.75" customHeight="1">
      <c r="A3" s="67"/>
      <c r="B3" s="33" t="s">
        <v>141</v>
      </c>
      <c r="C3" s="35"/>
      <c r="D3" s="84" t="str">
        <f>+'Bang can doi KT'!C4</f>
        <v>Bảng cân đối: OK</v>
      </c>
      <c r="E3" s="84" t="str">
        <f>+'Bang can doi KT'!D4</f>
        <v>Bảng cân đối: OK</v>
      </c>
      <c r="F3" s="84"/>
    </row>
    <row r="4" spans="1:7" ht="15.75">
      <c r="A4" s="67"/>
      <c r="B4" s="135" t="s">
        <v>10</v>
      </c>
      <c r="C4" s="135"/>
      <c r="D4" s="44">
        <f>+'Bang can doi KT'!C9</f>
        <v>616377026</v>
      </c>
      <c r="E4" s="44">
        <f>+'Bang can doi KT'!D9</f>
        <v>1789764475</v>
      </c>
      <c r="F4" s="44">
        <f>+'Bang can doi KT'!E9</f>
        <v>1616581986</v>
      </c>
      <c r="G4" s="19"/>
    </row>
    <row r="5" spans="1:7" ht="15">
      <c r="A5" s="67"/>
      <c r="B5" s="135" t="s">
        <v>142</v>
      </c>
      <c r="C5" s="135"/>
      <c r="D5" s="44">
        <f>+'Bang can doi KT'!C52</f>
        <v>2068091558</v>
      </c>
      <c r="E5" s="44">
        <f>'Bang can doi KT'!D52</f>
        <v>3741838996</v>
      </c>
      <c r="F5" s="44">
        <f>'Bang can doi KT'!E52</f>
        <v>3700186247</v>
      </c>
      <c r="G5" s="98"/>
    </row>
    <row r="6" spans="1:7" ht="15">
      <c r="A6" s="67"/>
      <c r="B6" s="135" t="s">
        <v>18</v>
      </c>
      <c r="C6" s="135"/>
      <c r="D6" s="44">
        <f>+'Bang can doi KT'!C16</f>
        <v>2307331759</v>
      </c>
      <c r="E6" s="44">
        <f>'Bang can doi KT'!D16</f>
        <v>8233089062</v>
      </c>
      <c r="F6" s="44">
        <f>'Bang can doi KT'!E16</f>
        <v>8506738025</v>
      </c>
      <c r="G6" s="98"/>
    </row>
    <row r="7" spans="1:7" ht="15">
      <c r="A7" s="67"/>
      <c r="B7" s="135" t="s">
        <v>143</v>
      </c>
      <c r="C7" s="135"/>
      <c r="D7" s="44">
        <f>+'Bao cao KQKD'!B4</f>
        <v>5432551340</v>
      </c>
      <c r="E7" s="44">
        <f>+'Bao cao KQKD'!C4</f>
        <v>14129040317</v>
      </c>
      <c r="F7" s="44">
        <f>+'Bao cao KQKD'!D4</f>
        <v>25524395235</v>
      </c>
      <c r="G7" s="98"/>
    </row>
    <row r="8" spans="1:7" ht="15">
      <c r="A8" s="67"/>
      <c r="B8" s="135" t="s">
        <v>144</v>
      </c>
      <c r="C8" s="135"/>
      <c r="D8" s="44">
        <f>+'Bao cao KQKD'!B19</f>
        <v>22742744</v>
      </c>
      <c r="E8" s="44">
        <f>+'Bao cao KQKD'!C19</f>
        <v>77549820.47999999</v>
      </c>
      <c r="F8" s="44">
        <f>+'Bao cao KQKD'!D19</f>
        <v>143820390</v>
      </c>
      <c r="G8" s="98"/>
    </row>
    <row r="9" spans="1:7" ht="15.75">
      <c r="A9" s="67"/>
      <c r="B9" s="135" t="s">
        <v>145</v>
      </c>
      <c r="C9" s="135"/>
      <c r="D9" s="44">
        <f>('Bang can doi KT'!C49+'Bang can doi KT'!C50)+'Bang can doi KT'!C51</f>
        <v>680000000</v>
      </c>
      <c r="E9" s="44">
        <f>('Bang can doi KT'!D49+'Bang can doi KT'!D50)+'Bang can doi KT'!D51</f>
        <v>3030000000</v>
      </c>
      <c r="F9" s="44">
        <f>('Bang can doi KT'!E49+'Bang can doi KT'!E50)+'Bang can doi KT'!E51</f>
        <v>536000000</v>
      </c>
      <c r="G9" s="19"/>
    </row>
    <row r="10" spans="1:7" ht="15">
      <c r="A10" s="67"/>
      <c r="B10" s="135" t="s">
        <v>60</v>
      </c>
      <c r="C10" s="135"/>
      <c r="D10" s="44">
        <f>'Bang can doi KT'!C58</f>
        <v>466991657</v>
      </c>
      <c r="E10" s="44">
        <f>'Bang can doi KT'!D58</f>
        <v>1006776257</v>
      </c>
      <c r="F10" s="44">
        <f>'Bang can doi KT'!E58</f>
        <v>584952000</v>
      </c>
      <c r="G10" s="98"/>
    </row>
    <row r="11" spans="1:7" ht="15">
      <c r="A11" s="67"/>
      <c r="B11" s="135" t="s">
        <v>146</v>
      </c>
      <c r="C11" s="135"/>
      <c r="D11" s="44">
        <f>'Bang can doi KT'!C42</f>
        <v>169318673</v>
      </c>
      <c r="E11" s="44">
        <f>'Bang can doi KT'!D42</f>
        <v>0</v>
      </c>
      <c r="F11" s="44">
        <f>'Bang can doi KT'!E42</f>
        <v>34345238</v>
      </c>
      <c r="G11" s="98"/>
    </row>
    <row r="12" spans="1:7" ht="15">
      <c r="A12" s="67"/>
      <c r="B12" s="135" t="s">
        <v>147</v>
      </c>
      <c r="C12" s="135"/>
      <c r="D12" s="44">
        <f>'Bang can doi KT'!C63</f>
        <v>386355974</v>
      </c>
      <c r="E12" s="44">
        <f>'Bang can doi KT'!D63</f>
        <v>3113905794</v>
      </c>
      <c r="F12" s="44">
        <f>'Bang can doi KT'!E63</f>
        <v>6257726183</v>
      </c>
      <c r="G12" s="98"/>
    </row>
    <row r="13" spans="1:7" ht="15">
      <c r="A13" s="67"/>
      <c r="B13" s="135" t="s">
        <v>148</v>
      </c>
      <c r="C13" s="135"/>
      <c r="D13" s="120">
        <f>'Các chỉ tiêu'!F6</f>
        <v>0.026322091215988483</v>
      </c>
      <c r="E13" s="120">
        <f>'Các chỉ tiêu'!G6</f>
        <v>0.014883617746338574</v>
      </c>
      <c r="F13" s="120">
        <f>'Các chỉ tiêu'!H6</f>
        <v>0.0043299559725898315</v>
      </c>
      <c r="G13" s="98"/>
    </row>
    <row r="14" spans="1:6" ht="21.75" customHeight="1">
      <c r="A14" s="67"/>
      <c r="B14" s="205" t="s">
        <v>99</v>
      </c>
      <c r="C14" s="203"/>
      <c r="D14" s="203"/>
      <c r="E14" s="203"/>
      <c r="F14" s="203"/>
    </row>
    <row r="15" spans="1:7" ht="15.75">
      <c r="A15" s="67"/>
      <c r="B15" s="135" t="s">
        <v>100</v>
      </c>
      <c r="C15" s="135"/>
      <c r="D15" s="139">
        <f>'Các chỉ tiêu'!F8</f>
        <v>0.004186383630200539</v>
      </c>
      <c r="E15" s="139">
        <f>'Các chỉ tiêu'!G8</f>
        <v>0.005488682793741651</v>
      </c>
      <c r="F15" s="139">
        <f>'Các chỉ tiêu'!H8</f>
        <v>0.005634624784480227</v>
      </c>
      <c r="G15" s="105"/>
    </row>
    <row r="16" spans="1:7" ht="15">
      <c r="A16" s="67"/>
      <c r="B16" s="135" t="s">
        <v>74</v>
      </c>
      <c r="C16" s="135"/>
      <c r="D16" s="44">
        <f>+'Bao cao KQKD'!B4</f>
        <v>5432551340</v>
      </c>
      <c r="E16" s="44">
        <f>+'Bao cao KQKD'!C4</f>
        <v>14129040317</v>
      </c>
      <c r="F16" s="44">
        <f>+'Bao cao KQKD'!D4</f>
        <v>25524395235</v>
      </c>
      <c r="G16" s="98"/>
    </row>
    <row r="17" spans="1:7" ht="15">
      <c r="A17" s="67"/>
      <c r="B17" s="135" t="s">
        <v>102</v>
      </c>
      <c r="C17" s="135"/>
      <c r="D17" s="120">
        <f>'Các chỉ tiêu'!F9</f>
        <v>0</v>
      </c>
      <c r="E17" s="120">
        <f>'Các chỉ tiêu'!G9</f>
        <v>0</v>
      </c>
      <c r="F17" s="120">
        <f>'Các chỉ tiêu'!H9</f>
        <v>1</v>
      </c>
      <c r="G17" s="98"/>
    </row>
    <row r="18" spans="1:7" ht="15">
      <c r="A18" s="67"/>
      <c r="B18" s="135" t="s">
        <v>103</v>
      </c>
      <c r="C18" s="135"/>
      <c r="D18" s="120">
        <f>'Các chỉ tiêu'!F10</f>
        <v>89.05375535760699</v>
      </c>
      <c r="E18" s="120">
        <f>'Các chỉ tiêu'!G10</f>
        <v>89.60769388396955</v>
      </c>
      <c r="F18" s="120">
        <f>'Các chỉ tiêu'!H10</f>
        <v>89.60769388430919</v>
      </c>
      <c r="G18" s="98"/>
    </row>
    <row r="19" spans="1:7" ht="15">
      <c r="A19" s="67"/>
      <c r="B19" s="135" t="s">
        <v>105</v>
      </c>
      <c r="C19" s="135"/>
      <c r="D19" s="120">
        <f>'Các chỉ tiêu'!F11</f>
        <v>10.946244642393015</v>
      </c>
      <c r="E19" s="120">
        <f>'Các chỉ tiêu'!G11</f>
        <v>10.392306116030456</v>
      </c>
      <c r="F19" s="120">
        <f>'Các chỉ tiêu'!H11</f>
        <v>10.392306115690815</v>
      </c>
      <c r="G19" s="98"/>
    </row>
    <row r="20" spans="1:7" ht="15">
      <c r="A20" s="67"/>
      <c r="B20" s="135" t="s">
        <v>107</v>
      </c>
      <c r="C20" s="135"/>
      <c r="D20" s="120">
        <f>'Các chỉ tiêu'!F12</f>
        <v>9.258859208498524</v>
      </c>
      <c r="E20" s="120">
        <f>'Các chỉ tiêu'!G12</f>
        <v>7.3383755424101675</v>
      </c>
      <c r="F20" s="120">
        <f>'Các chỉ tiêu'!H12</f>
        <v>7.951431277074879</v>
      </c>
      <c r="G20" s="98"/>
    </row>
    <row r="21" spans="1:6" ht="29.25" customHeight="1">
      <c r="A21" s="67"/>
      <c r="B21" s="205" t="s">
        <v>149</v>
      </c>
      <c r="C21" s="203"/>
      <c r="D21" s="203"/>
      <c r="E21" s="203"/>
      <c r="F21" s="203"/>
    </row>
    <row r="22" spans="1:7" ht="15.75">
      <c r="A22" s="67"/>
      <c r="B22" s="135" t="s">
        <v>150</v>
      </c>
      <c r="C22" s="135"/>
      <c r="D22" s="120">
        <f>'Các chỉ tiêu'!F14</f>
        <v>0.6687019342554432</v>
      </c>
      <c r="E22" s="120">
        <f>'Các chỉ tiêu'!G14</f>
        <v>0.7730660303840932</v>
      </c>
      <c r="F22" s="120">
        <f>'Các chỉ tiêu'!H14</f>
        <v>0.43405002657254926</v>
      </c>
      <c r="G22" s="63"/>
    </row>
    <row r="23" spans="1:7" ht="15">
      <c r="A23" s="67"/>
      <c r="B23" s="135" t="s">
        <v>151</v>
      </c>
      <c r="C23" s="135"/>
      <c r="D23" s="44">
        <f>'Bang can doi KT'!C43</f>
        <v>3632757589</v>
      </c>
      <c r="E23" s="44">
        <f>'Bang can doi KT'!D43</f>
        <v>10922681111</v>
      </c>
      <c r="F23" s="44">
        <f>'Bang can doi KT'!E43</f>
        <v>11078864430</v>
      </c>
      <c r="G23" s="98"/>
    </row>
    <row r="24" spans="1:7" ht="15">
      <c r="A24" s="67"/>
      <c r="B24" s="135" t="s">
        <v>32</v>
      </c>
      <c r="C24" s="135"/>
      <c r="D24" s="44">
        <f>'Bang can doi KT'!C29</f>
        <v>140754400</v>
      </c>
      <c r="E24" s="44">
        <f>'Bang can doi KT'!D29</f>
        <v>584473318</v>
      </c>
      <c r="F24" s="44">
        <f>'Bang can doi KT'!E29</f>
        <v>481536496</v>
      </c>
      <c r="G24" s="98"/>
    </row>
    <row r="25" spans="1:7" ht="15">
      <c r="A25" s="67"/>
      <c r="B25" s="135" t="s">
        <v>112</v>
      </c>
      <c r="C25" s="135"/>
      <c r="D25" s="44">
        <f>'Các chỉ tiêu'!F15</f>
        <v>-93035772</v>
      </c>
      <c r="E25" s="44">
        <f>'Các chỉ tiêu'!G15</f>
        <v>3114384476</v>
      </c>
      <c r="F25" s="44">
        <f>'Các chỉ tiêu'!H15</f>
        <v>6292451211</v>
      </c>
      <c r="G25" s="98"/>
    </row>
    <row r="26" spans="1:7" ht="15">
      <c r="A26" s="67"/>
      <c r="B26" s="135" t="s">
        <v>114</v>
      </c>
      <c r="C26" s="135"/>
      <c r="D26" s="44">
        <f>'Các chỉ tiêu'!F16</f>
        <v>1569753363</v>
      </c>
      <c r="E26" s="44">
        <f>'Các chỉ tiêu'!G16</f>
        <v>2254754532</v>
      </c>
      <c r="F26" s="44">
        <f>'Các chỉ tiêu'!H16</f>
        <v>2397927836</v>
      </c>
      <c r="G26" s="98"/>
    </row>
    <row r="27" spans="1:7" ht="15.75">
      <c r="A27" s="67"/>
      <c r="B27" s="135" t="s">
        <v>116</v>
      </c>
      <c r="C27" s="135"/>
      <c r="D27" s="44">
        <f>'Các chỉ tiêu'!F17</f>
        <v>40.845583497053525</v>
      </c>
      <c r="E27" s="44">
        <f>'Các chỉ tiêu'!G17</f>
        <v>45.602192119500344</v>
      </c>
      <c r="F27" s="44">
        <f>'Các chỉ tiêu'!H17</f>
        <v>22.800521211252118</v>
      </c>
      <c r="G27" s="8"/>
    </row>
    <row r="28" spans="1:7" ht="15.75">
      <c r="A28" s="67"/>
      <c r="B28" s="135" t="s">
        <v>118</v>
      </c>
      <c r="C28" s="135"/>
      <c r="D28" s="44">
        <f>'Các chỉ tiêu'!F18</f>
        <v>171.69453314964943</v>
      </c>
      <c r="E28" s="44">
        <f>'Các chỉ tiêu'!G18</f>
        <v>234.10319948449742</v>
      </c>
      <c r="F28" s="44">
        <f>'Các chỉ tiêu'!H18</f>
        <v>133.89513506893098</v>
      </c>
      <c r="G28" s="8"/>
    </row>
    <row r="29" spans="1:7" ht="15.75">
      <c r="A29" s="67"/>
      <c r="B29" s="135" t="s">
        <v>120</v>
      </c>
      <c r="C29" s="135"/>
      <c r="D29" s="44">
        <f>'Các chỉ tiêu'!F19</f>
        <v>153.89205006021032</v>
      </c>
      <c r="E29" s="44">
        <f>'Các chỉ tiêu'!G19</f>
        <v>106.39706121515773</v>
      </c>
      <c r="F29" s="44">
        <f>'Các chỉ tiêu'!H19</f>
        <v>58.24053072590839</v>
      </c>
      <c r="G29" s="8"/>
    </row>
    <row r="30" spans="1:7" ht="15.75">
      <c r="A30" s="67"/>
      <c r="B30" s="133" t="s">
        <v>122</v>
      </c>
      <c r="C30" s="133">
        <f>SUM(C27:C29)</f>
        <v>0</v>
      </c>
      <c r="D30" s="122">
        <f>D28+D27</f>
        <v>212.54011664670296</v>
      </c>
      <c r="E30" s="122">
        <f>E28+E27</f>
        <v>279.7053916039978</v>
      </c>
      <c r="F30" s="122">
        <f>F28+F27</f>
        <v>156.6956562801831</v>
      </c>
      <c r="G30" s="8"/>
    </row>
    <row r="31" spans="1:6" ht="27.75" customHeight="1">
      <c r="A31" s="67"/>
      <c r="B31" s="205" t="s">
        <v>123</v>
      </c>
      <c r="C31" s="203"/>
      <c r="D31" s="203"/>
      <c r="E31" s="203"/>
      <c r="F31" s="203"/>
    </row>
    <row r="32" spans="1:7" ht="15">
      <c r="A32" s="67"/>
      <c r="B32" s="135" t="s">
        <v>152</v>
      </c>
      <c r="C32" s="135"/>
      <c r="D32" s="120">
        <f>'Các chỉ tiêu'!F22</f>
        <v>9.402617879541317</v>
      </c>
      <c r="E32" s="120">
        <f>'Các chỉ tiêu'!G22</f>
        <v>3.507710840850184</v>
      </c>
      <c r="F32" s="120">
        <f>'Các chỉ tiêu'!H22</f>
        <v>1.7704297225559829</v>
      </c>
      <c r="G32" s="98"/>
    </row>
    <row r="33" spans="1:7" ht="15">
      <c r="A33" s="67"/>
      <c r="B33" s="135" t="s">
        <v>126</v>
      </c>
      <c r="C33" s="135"/>
      <c r="D33" s="120">
        <f>'Các chỉ tiêu'!F23</f>
        <v>0.3653123405122376</v>
      </c>
      <c r="E33" s="120">
        <f>'Các chỉ tiêu'!G23</f>
        <v>0.30948530166365534</v>
      </c>
      <c r="F33" s="120">
        <f>'Các chỉ tiêu'!H23</f>
        <v>0.48539996853448075</v>
      </c>
      <c r="G33" s="98"/>
    </row>
    <row r="34" spans="1:7" ht="15">
      <c r="A34" s="67"/>
      <c r="B34" s="135" t="s">
        <v>128</v>
      </c>
      <c r="C34" s="135"/>
      <c r="D34" s="120">
        <f>'Các chỉ tiêu'!F24</f>
        <v>0.3653123405122376</v>
      </c>
      <c r="E34" s="120">
        <f>'Các chỉ tiêu'!G24</f>
        <v>0.30948530166365534</v>
      </c>
      <c r="F34" s="120">
        <f>'Các chỉ tiêu'!H24</f>
        <v>0.48539996853448075</v>
      </c>
      <c r="G34" s="98"/>
    </row>
    <row r="35" spans="1:7" ht="15">
      <c r="A35" s="67"/>
      <c r="B35" s="135" t="s">
        <v>130</v>
      </c>
      <c r="C35" s="135"/>
      <c r="D35" s="120">
        <f>'Các chỉ tiêu'!F25</f>
        <v>1.1954639891953642</v>
      </c>
      <c r="E35" s="120">
        <f>'Các chỉ tiêu'!G25</f>
        <v>1.519877862641163</v>
      </c>
      <c r="F35" s="120">
        <f>'Các chỉ tiêu'!H25</f>
        <v>2.493512343438756</v>
      </c>
      <c r="G35" s="98"/>
    </row>
    <row r="36" spans="1:7" ht="15">
      <c r="A36" s="67"/>
      <c r="B36" s="135" t="s">
        <v>153</v>
      </c>
      <c r="C36" s="135"/>
      <c r="D36" s="120">
        <f>'Các chỉ tiêu'!F26</f>
        <v>0.8936466404557555</v>
      </c>
      <c r="E36" s="120">
        <f>'Các chỉ tiêu'!G26</f>
        <v>0.7149137869763449</v>
      </c>
      <c r="F36" s="120">
        <f>'Các chỉ tiêu'!H26</f>
        <v>0.43516537976085695</v>
      </c>
      <c r="G36" s="98"/>
    </row>
    <row r="37" spans="1:7" ht="15">
      <c r="A37" s="67"/>
      <c r="B37" s="135" t="s">
        <v>154</v>
      </c>
      <c r="C37" s="135"/>
      <c r="D37" s="120">
        <f>'Các chỉ tiêu'!F27</f>
        <v>0.10635335954424456</v>
      </c>
      <c r="E37" s="120">
        <f>'Các chỉ tiêu'!G27</f>
        <v>0.2850862130236551</v>
      </c>
      <c r="F37" s="120">
        <f>'Các chỉ tiêu'!H27</f>
        <v>0.564834620239143</v>
      </c>
      <c r="G37" s="98"/>
    </row>
    <row r="38" spans="1:7" ht="15">
      <c r="A38" s="67"/>
      <c r="B38" s="135" t="s">
        <v>136</v>
      </c>
      <c r="C38" s="135"/>
      <c r="D38" s="120">
        <f>'Các chỉ tiêu'!F28</f>
        <v>0.7650964563162874</v>
      </c>
      <c r="E38" s="120">
        <f>'Các chỉ tiêu'!G28</f>
        <v>0.6227407896354176</v>
      </c>
      <c r="F38" s="120">
        <f>'Các chỉ tiêu'!H28</f>
        <v>0.38236646668669455</v>
      </c>
      <c r="G38" s="98"/>
    </row>
    <row r="39" spans="1:7" ht="15">
      <c r="A39" s="67"/>
      <c r="B39" s="135" t="s">
        <v>155</v>
      </c>
      <c r="C39" s="135"/>
      <c r="D39" s="120">
        <f>'Các chỉ tiêu'!F29</f>
        <v>0.12855018413946806</v>
      </c>
      <c r="E39" s="120">
        <f>'Các chỉ tiêu'!G29</f>
        <v>0.09217299734092732</v>
      </c>
      <c r="F39" s="120">
        <f>'Các chỉ tiêu'!H29</f>
        <v>0.05279891307416242</v>
      </c>
      <c r="G39" s="98"/>
    </row>
    <row r="40" spans="1:7" ht="15">
      <c r="A40" s="67"/>
      <c r="B40" s="135" t="s">
        <v>138</v>
      </c>
      <c r="C40" s="135"/>
      <c r="D40" s="120">
        <f>'Các chỉ tiêu'!F30</f>
        <v>6.062671085237833</v>
      </c>
      <c r="E40" s="120">
        <f>'Các chỉ tiêu'!G30</f>
        <v>7.0502483588138745</v>
      </c>
      <c r="F40" s="120">
        <f>'Các chỉ tiêu'!H30</f>
        <v>14.210092567936949</v>
      </c>
      <c r="G40" s="98"/>
    </row>
    <row r="41" spans="2:6" ht="15.75">
      <c r="B41" s="17"/>
      <c r="C41" s="68"/>
      <c r="D41" s="17"/>
      <c r="E41" s="17"/>
      <c r="F41" s="17"/>
    </row>
  </sheetData>
  <sheetProtection/>
  <mergeCells count="4">
    <mergeCell ref="B1:F1"/>
    <mergeCell ref="B14:F14"/>
    <mergeCell ref="B21:F21"/>
    <mergeCell ref="B31:F3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8"/>
  <sheetViews>
    <sheetView zoomScalePageLayoutView="0" workbookViewId="0" topLeftCell="A28">
      <selection activeCell="D54" sqref="D54"/>
    </sheetView>
  </sheetViews>
  <sheetFormatPr defaultColWidth="9.140625" defaultRowHeight="12.75" customHeight="1"/>
  <cols>
    <col min="1" max="1" width="34.421875" style="0" customWidth="1"/>
    <col min="2" max="2" width="16.421875" style="0" customWidth="1"/>
    <col min="3" max="3" width="18.28125" style="0" customWidth="1"/>
    <col min="4" max="4" width="18.421875" style="0" customWidth="1"/>
    <col min="5" max="5" width="17.00390625" style="0" customWidth="1"/>
  </cols>
  <sheetData>
    <row r="1" spans="1:4" ht="15.75" customHeight="1">
      <c r="A1" s="206" t="s">
        <v>294</v>
      </c>
      <c r="B1" s="207"/>
      <c r="C1" s="207"/>
      <c r="D1" s="207"/>
    </row>
    <row r="2" spans="1:5" ht="15.75" customHeight="1">
      <c r="A2" s="42" t="s">
        <v>140</v>
      </c>
      <c r="B2" s="46" t="s">
        <v>298</v>
      </c>
      <c r="C2" s="46" t="s">
        <v>299</v>
      </c>
      <c r="D2" s="46" t="s">
        <v>300</v>
      </c>
      <c r="E2" s="98"/>
    </row>
    <row r="3" spans="1:4" ht="14.25" customHeight="1">
      <c r="A3" s="33" t="s">
        <v>141</v>
      </c>
      <c r="B3" s="84"/>
      <c r="C3" s="84"/>
      <c r="D3" s="84"/>
    </row>
    <row r="4" spans="1:5" ht="15" customHeight="1">
      <c r="A4" s="135" t="s">
        <v>156</v>
      </c>
      <c r="B4" s="135">
        <f>+'Bao cao KQKD'!B4</f>
        <v>5432551340</v>
      </c>
      <c r="C4" s="135">
        <f>+'Bao cao KQKD'!C4</f>
        <v>14129040317</v>
      </c>
      <c r="D4" s="135">
        <f>+'Bao cao KQKD'!D4</f>
        <v>25524395235</v>
      </c>
      <c r="E4" s="24"/>
    </row>
    <row r="5" spans="1:5" ht="15" customHeight="1">
      <c r="A5" s="135" t="s">
        <v>157</v>
      </c>
      <c r="B5" s="135">
        <f>+'Bao cao KQKD'!B19</f>
        <v>22742744</v>
      </c>
      <c r="C5" s="135">
        <f>+'Bao cao KQKD'!C19</f>
        <v>77549820.47999999</v>
      </c>
      <c r="D5" s="135">
        <f>+'Bao cao KQKD'!D19</f>
        <v>143820390</v>
      </c>
      <c r="E5" s="98"/>
    </row>
    <row r="6" spans="1:4" ht="12.75">
      <c r="A6" s="4" t="s">
        <v>158</v>
      </c>
      <c r="B6" s="124">
        <f>+'Bang can doi KT'!C63</f>
        <v>386355974</v>
      </c>
      <c r="C6" s="124">
        <f>'Bang can doi KT'!D63</f>
        <v>3113905794</v>
      </c>
      <c r="D6" s="124">
        <f>'Bang can doi KT'!E63</f>
        <v>6257726183</v>
      </c>
    </row>
    <row r="7" spans="1:4" ht="12.75">
      <c r="A7" s="102" t="s">
        <v>159</v>
      </c>
      <c r="B7" s="82">
        <f>+'Bao cao KQKD'!B4</f>
        <v>5432551340</v>
      </c>
      <c r="C7" s="82">
        <f>+'Bao cao KQKD'!C4</f>
        <v>14129040317</v>
      </c>
      <c r="D7" s="82">
        <f>+'Bao cao KQKD'!D4</f>
        <v>25524395235</v>
      </c>
    </row>
    <row r="8" spans="1:5" ht="15" customHeight="1">
      <c r="A8" s="135" t="s">
        <v>160</v>
      </c>
      <c r="B8" s="44">
        <f>'Các chỉ tiêu'!F9</f>
        <v>0</v>
      </c>
      <c r="C8" s="44">
        <f>'Các chỉ tiêu'!G9</f>
        <v>0</v>
      </c>
      <c r="D8" s="44">
        <f>'Các chỉ tiêu'!H9</f>
        <v>1</v>
      </c>
      <c r="E8" s="98"/>
    </row>
    <row r="9" spans="1:4" ht="12.75">
      <c r="A9" s="95" t="s">
        <v>161</v>
      </c>
      <c r="B9" s="124"/>
      <c r="C9" s="124"/>
      <c r="D9" s="124"/>
    </row>
    <row r="10" spans="1:4" ht="12.75">
      <c r="A10" s="115" t="s">
        <v>162</v>
      </c>
      <c r="B10" s="80">
        <f>+'Bao cao KQKD'!B17</f>
        <v>31614366</v>
      </c>
      <c r="C10" s="80">
        <f>+'Bao cao KQKD'!C17</f>
        <v>107708084</v>
      </c>
      <c r="D10" s="80">
        <f>+'Bao cao KQKD'!D17</f>
        <v>199750541</v>
      </c>
    </row>
    <row r="11" spans="1:4" ht="12.75">
      <c r="A11" s="115" t="s">
        <v>163</v>
      </c>
      <c r="B11" s="80">
        <f>+'Bao cao KQKD'!B19</f>
        <v>22742744</v>
      </c>
      <c r="C11" s="80">
        <f>+'Bao cao KQKD'!C19</f>
        <v>77549820.47999999</v>
      </c>
      <c r="D11" s="80">
        <f>+'Bao cao KQKD'!D19</f>
        <v>143820390</v>
      </c>
    </row>
    <row r="12" spans="1:4" ht="12.75">
      <c r="A12" s="115" t="s">
        <v>164</v>
      </c>
      <c r="B12" s="101">
        <f>('Bao cao KQKD'!B19/'Bao cao KQKD'!B4)*100</f>
        <v>0.41863836302005386</v>
      </c>
      <c r="C12" s="101">
        <f>('Bao cao KQKD'!C19/'Bao cao KQKD'!C4)*100</f>
        <v>0.5488682793741652</v>
      </c>
      <c r="D12" s="101">
        <f>('Bao cao KQKD'!D19/'Bao cao KQKD'!D4)*100</f>
        <v>0.5634624784480227</v>
      </c>
    </row>
    <row r="13" spans="1:4" ht="12.75">
      <c r="A13" s="115" t="s">
        <v>165</v>
      </c>
      <c r="B13" s="101">
        <f>('Bao cao KQKD'!B19/'Bang can doi KT'!C63)*100</f>
        <v>5.886474011140824</v>
      </c>
      <c r="C13" s="101">
        <f>('Bao cao KQKD'!C19/'Bang can doi KT'!D63)*100</f>
        <v>2.490435665376458</v>
      </c>
      <c r="D13" s="101">
        <f>('Bao cao KQKD'!D19/'Bang can doi KT'!E63)*100</f>
        <v>2.2982851245666276</v>
      </c>
    </row>
    <row r="14" ht="12.75">
      <c r="A14" s="6" t="s">
        <v>166</v>
      </c>
    </row>
    <row r="15" spans="1:4" ht="12.75">
      <c r="A15" s="102" t="s">
        <v>167</v>
      </c>
      <c r="B15" s="58">
        <f>'Bang can doi KT'!C6</f>
        <v>398975731</v>
      </c>
      <c r="C15" s="58">
        <f>'Bang can doi KT'!D6</f>
        <v>315354256</v>
      </c>
      <c r="D15" s="58">
        <f>'Bang can doi KT'!E6</f>
        <v>439662685</v>
      </c>
    </row>
    <row r="16" spans="1:5" ht="15" customHeight="1">
      <c r="A16" s="135" t="s">
        <v>168</v>
      </c>
      <c r="B16" s="135">
        <f>'Bang can doi KT'!C10</f>
        <v>498338195</v>
      </c>
      <c r="C16" s="135">
        <f>'Bang can doi KT'!D10</f>
        <v>1487084464</v>
      </c>
      <c r="D16" s="135">
        <f>'Bang can doi KT'!E10</f>
        <v>1302258411</v>
      </c>
      <c r="E16" s="34"/>
    </row>
    <row r="17" spans="1:5" ht="15" customHeight="1">
      <c r="A17" s="135" t="s">
        <v>169</v>
      </c>
      <c r="B17" s="135">
        <f>'Bang can doi KT'!C52</f>
        <v>2068091558</v>
      </c>
      <c r="C17" s="135">
        <f>'Bang can doi KT'!D52</f>
        <v>3741838996</v>
      </c>
      <c r="D17" s="135">
        <f>'Bang can doi KT'!E52</f>
        <v>3700186247</v>
      </c>
      <c r="E17" s="98"/>
    </row>
    <row r="18" spans="1:5" ht="15" customHeight="1">
      <c r="A18" s="135" t="s">
        <v>170</v>
      </c>
      <c r="B18" s="135">
        <f>'Bang can doi KT'!C16</f>
        <v>2307331759</v>
      </c>
      <c r="C18" s="135">
        <f>'Bang can doi KT'!D16</f>
        <v>8233089062</v>
      </c>
      <c r="D18" s="135">
        <f>'Bang can doi KT'!E16</f>
        <v>8506738025</v>
      </c>
      <c r="E18" s="98"/>
    </row>
    <row r="19" spans="1:5" ht="15" customHeight="1">
      <c r="A19" s="135" t="s">
        <v>171</v>
      </c>
      <c r="B19" s="135">
        <f>('Bang can doi KT'!C49+'Bang can doi KT'!C50)+'Bang can doi KT'!C51</f>
        <v>680000000</v>
      </c>
      <c r="C19" s="135">
        <f>('Bang can doi KT'!D49+'Bang can doi KT'!D50)+'Bang can doi KT'!D51</f>
        <v>3030000000</v>
      </c>
      <c r="D19" s="135">
        <f>('Bang can doi KT'!E49+'Bang can doi KT'!E50)+'Bang can doi KT'!E51</f>
        <v>536000000</v>
      </c>
      <c r="E19" s="98"/>
    </row>
    <row r="20" spans="1:5" ht="15" customHeight="1">
      <c r="A20" s="135" t="s">
        <v>172</v>
      </c>
      <c r="B20" s="135">
        <f>'Bang can doi KT'!C58</f>
        <v>466991657</v>
      </c>
      <c r="C20" s="135">
        <f>'Bang can doi KT'!D58</f>
        <v>1006776257</v>
      </c>
      <c r="D20" s="135">
        <f>'Bang can doi KT'!E58</f>
        <v>584952000</v>
      </c>
      <c r="E20" s="98"/>
    </row>
    <row r="21" spans="1:5" ht="15" customHeight="1">
      <c r="A21" s="135" t="s">
        <v>173</v>
      </c>
      <c r="B21" s="44">
        <f>'Các chỉ tiêu'!F25</f>
        <v>1.1954639891953642</v>
      </c>
      <c r="C21" s="44">
        <f>'Các chỉ tiêu'!G25</f>
        <v>1.519877862641163</v>
      </c>
      <c r="D21" s="44">
        <f>'Các chỉ tiêu'!H25</f>
        <v>2.493512343438756</v>
      </c>
      <c r="E21" s="98"/>
    </row>
    <row r="22" spans="1:5" ht="15" customHeight="1">
      <c r="A22" s="135" t="s">
        <v>174</v>
      </c>
      <c r="B22" s="44">
        <f>'Các chỉ tiêu'!F24</f>
        <v>0.3653123405122376</v>
      </c>
      <c r="C22" s="44">
        <f>'Các chỉ tiêu'!G24</f>
        <v>0.30948530166365534</v>
      </c>
      <c r="D22" s="44">
        <f>'Các chỉ tiêu'!H24</f>
        <v>0.48539996853448075</v>
      </c>
      <c r="E22" s="98"/>
    </row>
    <row r="23" spans="1:5" ht="15" customHeight="1">
      <c r="A23" s="135" t="s">
        <v>175</v>
      </c>
      <c r="B23" s="44">
        <f>'Các chỉ tiêu'!F23</f>
        <v>0.3653123405122376</v>
      </c>
      <c r="C23" s="44">
        <f>'Các chỉ tiêu'!G23</f>
        <v>0.30948530166365534</v>
      </c>
      <c r="D23" s="44">
        <f>'Các chỉ tiêu'!H23</f>
        <v>0.48539996853448075</v>
      </c>
      <c r="E23" s="98"/>
    </row>
    <row r="24" spans="1:4" ht="14.25" customHeight="1">
      <c r="A24" s="205" t="s">
        <v>99</v>
      </c>
      <c r="B24" s="203"/>
      <c r="C24" s="203"/>
      <c r="D24" s="70"/>
    </row>
    <row r="25" spans="1:5" ht="15.75" customHeight="1">
      <c r="A25" s="135" t="s">
        <v>176</v>
      </c>
      <c r="B25" s="148">
        <f>'Các chỉ tiêu'!F8</f>
        <v>0.004186383630200539</v>
      </c>
      <c r="C25" s="148">
        <f>'Các chỉ tiêu'!G8</f>
        <v>0.005488682793741651</v>
      </c>
      <c r="D25" s="148">
        <f>'Các chỉ tiêu'!H8</f>
        <v>0.005634624784480227</v>
      </c>
      <c r="E25" s="98"/>
    </row>
    <row r="26" spans="1:5" ht="15" customHeight="1">
      <c r="A26" s="135" t="s">
        <v>177</v>
      </c>
      <c r="B26" s="44">
        <f>'Các chỉ tiêu'!F10</f>
        <v>89.05375535760699</v>
      </c>
      <c r="C26" s="44">
        <f>'Các chỉ tiêu'!G10</f>
        <v>89.60769388396955</v>
      </c>
      <c r="D26" s="44">
        <f>'Các chỉ tiêu'!H10</f>
        <v>89.60769388430919</v>
      </c>
      <c r="E26" s="98"/>
    </row>
    <row r="27" spans="1:5" ht="15" customHeight="1">
      <c r="A27" s="135" t="s">
        <v>178</v>
      </c>
      <c r="B27" s="44">
        <f>'Các chỉ tiêu'!F11</f>
        <v>10.946244642393015</v>
      </c>
      <c r="C27" s="44">
        <f>'Các chỉ tiêu'!G11</f>
        <v>10.392306116030456</v>
      </c>
      <c r="D27" s="44">
        <f>'Các chỉ tiêu'!H11</f>
        <v>10.392306115690815</v>
      </c>
      <c r="E27" s="98"/>
    </row>
    <row r="28" spans="1:5" ht="15" customHeight="1">
      <c r="A28" s="135" t="s">
        <v>179</v>
      </c>
      <c r="B28" s="44">
        <f>'Các chỉ tiêu'!F12</f>
        <v>9.258859208498524</v>
      </c>
      <c r="C28" s="44">
        <f>'Các chỉ tiêu'!G12</f>
        <v>7.3383755424101675</v>
      </c>
      <c r="D28" s="44">
        <f>'Các chỉ tiêu'!H12</f>
        <v>7.951431277074879</v>
      </c>
      <c r="E28" s="98"/>
    </row>
    <row r="29" spans="1:4" ht="14.25" customHeight="1">
      <c r="A29" s="205" t="s">
        <v>109</v>
      </c>
      <c r="B29" s="203"/>
      <c r="C29" s="203"/>
      <c r="D29" s="70"/>
    </row>
    <row r="30" spans="1:5" ht="15.75" customHeight="1">
      <c r="A30" s="135" t="s">
        <v>180</v>
      </c>
      <c r="B30" s="44">
        <f>'Các chỉ tiêu'!F14</f>
        <v>0.6687019342554432</v>
      </c>
      <c r="C30" s="44">
        <f>'Các chỉ tiêu'!G14</f>
        <v>0.7730660303840932</v>
      </c>
      <c r="D30" s="44">
        <f>'Các chỉ tiêu'!H14</f>
        <v>0.43405002657254926</v>
      </c>
      <c r="E30" s="98"/>
    </row>
    <row r="31" spans="1:5" ht="15" customHeight="1">
      <c r="A31" s="135" t="s">
        <v>181</v>
      </c>
      <c r="B31" s="135">
        <f>'Bang can doi KT'!C43</f>
        <v>3632757589</v>
      </c>
      <c r="C31" s="135">
        <f>'Bang can doi KT'!D43</f>
        <v>10922681111</v>
      </c>
      <c r="D31" s="135">
        <f>'Bang can doi KT'!E43</f>
        <v>11078864430</v>
      </c>
      <c r="E31" s="98"/>
    </row>
    <row r="32" spans="1:5" ht="15" customHeight="1">
      <c r="A32" s="135" t="s">
        <v>182</v>
      </c>
      <c r="B32" s="135">
        <f>'Bang can doi KT'!C29</f>
        <v>140754400</v>
      </c>
      <c r="C32" s="135">
        <f>'Bang can doi KT'!D29</f>
        <v>584473318</v>
      </c>
      <c r="D32" s="135">
        <f>'Bang can doi KT'!E29</f>
        <v>481536496</v>
      </c>
      <c r="E32" s="98"/>
    </row>
    <row r="33" spans="1:5" ht="15" customHeight="1">
      <c r="A33" s="135" t="s">
        <v>183</v>
      </c>
      <c r="B33" s="135">
        <f>'Các chỉ tiêu'!F15</f>
        <v>-93035772</v>
      </c>
      <c r="C33" s="135">
        <f>'Các chỉ tiêu'!G15</f>
        <v>3114384476</v>
      </c>
      <c r="D33" s="135">
        <f>'Các chỉ tiêu'!H15</f>
        <v>6292451211</v>
      </c>
      <c r="E33" s="98"/>
    </row>
    <row r="34" spans="1:5" ht="15" customHeight="1">
      <c r="A34" s="135" t="s">
        <v>184</v>
      </c>
      <c r="B34" s="135">
        <f>'Các chỉ tiêu'!F16</f>
        <v>1569753363</v>
      </c>
      <c r="C34" s="135">
        <f>'Các chỉ tiêu'!G16</f>
        <v>2254754532</v>
      </c>
      <c r="D34" s="135">
        <f>'Các chỉ tiêu'!H16</f>
        <v>2397927836</v>
      </c>
      <c r="E34" s="98"/>
    </row>
    <row r="35" spans="1:5" ht="15" customHeight="1">
      <c r="A35" s="135" t="s">
        <v>185</v>
      </c>
      <c r="B35" s="44">
        <f>'Các chỉ tiêu'!F17</f>
        <v>40.845583497053525</v>
      </c>
      <c r="C35" s="44">
        <f>'Các chỉ tiêu'!G17</f>
        <v>45.602192119500344</v>
      </c>
      <c r="D35" s="44">
        <f>'Các chỉ tiêu'!H17</f>
        <v>22.800521211252118</v>
      </c>
      <c r="E35" s="98"/>
    </row>
    <row r="36" spans="1:5" ht="15" customHeight="1">
      <c r="A36" s="135" t="s">
        <v>186</v>
      </c>
      <c r="B36" s="44">
        <f>'Các chỉ tiêu'!F18</f>
        <v>171.69453314964943</v>
      </c>
      <c r="C36" s="44">
        <f>'Các chỉ tiêu'!G18</f>
        <v>234.10319948449742</v>
      </c>
      <c r="D36" s="44">
        <f>'Các chỉ tiêu'!H18</f>
        <v>133.89513506893098</v>
      </c>
      <c r="E36" s="98"/>
    </row>
    <row r="37" spans="1:5" ht="15" customHeight="1">
      <c r="A37" s="135" t="s">
        <v>187</v>
      </c>
      <c r="B37" s="44">
        <f>'Các chỉ tiêu'!F19</f>
        <v>153.89205006021032</v>
      </c>
      <c r="C37" s="44">
        <f>'Các chỉ tiêu'!G19</f>
        <v>106.39706121515773</v>
      </c>
      <c r="D37" s="44">
        <f>'Các chỉ tiêu'!H19</f>
        <v>58.24053072590839</v>
      </c>
      <c r="E37" s="98"/>
    </row>
    <row r="38" spans="1:5" ht="15" customHeight="1">
      <c r="A38" s="133" t="s">
        <v>122</v>
      </c>
      <c r="B38" s="122">
        <f>B36+B35</f>
        <v>212.54011664670296</v>
      </c>
      <c r="C38" s="122">
        <f>C36+C35</f>
        <v>279.7053916039978</v>
      </c>
      <c r="D38" s="122">
        <f>D36+D35</f>
        <v>156.6956562801831</v>
      </c>
      <c r="E38" s="98"/>
    </row>
    <row r="39" spans="1:4" ht="14.25" customHeight="1">
      <c r="A39" s="205" t="s">
        <v>123</v>
      </c>
      <c r="B39" s="203"/>
      <c r="C39" s="203"/>
      <c r="D39" s="70"/>
    </row>
    <row r="40" spans="1:5" ht="15" customHeight="1">
      <c r="A40" s="135" t="s">
        <v>152</v>
      </c>
      <c r="B40" s="44">
        <f>'Các chỉ tiêu'!F22</f>
        <v>9.402617879541317</v>
      </c>
      <c r="C40" s="44">
        <f>'Các chỉ tiêu'!G22</f>
        <v>3.507710840850184</v>
      </c>
      <c r="D40" s="44">
        <f>'Các chỉ tiêu'!H22</f>
        <v>1.7704297225559829</v>
      </c>
      <c r="E40" s="98"/>
    </row>
    <row r="41" spans="1:5" ht="15" customHeight="1">
      <c r="A41" s="135" t="s">
        <v>126</v>
      </c>
      <c r="B41" s="44">
        <f>'Các chỉ tiêu'!F23</f>
        <v>0.3653123405122376</v>
      </c>
      <c r="C41" s="44">
        <f>'Các chỉ tiêu'!G23</f>
        <v>0.30948530166365534</v>
      </c>
      <c r="D41" s="44">
        <f>'Các chỉ tiêu'!H23</f>
        <v>0.48539996853448075</v>
      </c>
      <c r="E41" s="98"/>
    </row>
    <row r="42" spans="1:5" ht="15" customHeight="1">
      <c r="A42" s="135" t="s">
        <v>128</v>
      </c>
      <c r="B42" s="44">
        <f>'Các chỉ tiêu'!F24</f>
        <v>0.3653123405122376</v>
      </c>
      <c r="C42" s="44">
        <f>'Các chỉ tiêu'!G24</f>
        <v>0.30948530166365534</v>
      </c>
      <c r="D42" s="44">
        <f>'Các chỉ tiêu'!H24</f>
        <v>0.48539996853448075</v>
      </c>
      <c r="E42" s="98"/>
    </row>
    <row r="43" spans="1:5" ht="15" customHeight="1">
      <c r="A43" s="135" t="s">
        <v>130</v>
      </c>
      <c r="B43" s="44">
        <f>'Các chỉ tiêu'!F25</f>
        <v>1.1954639891953642</v>
      </c>
      <c r="C43" s="44">
        <f>'Các chỉ tiêu'!G25</f>
        <v>1.519877862641163</v>
      </c>
      <c r="D43" s="44">
        <f>'Các chỉ tiêu'!H25</f>
        <v>2.493512343438756</v>
      </c>
      <c r="E43" s="98"/>
    </row>
    <row r="44" spans="1:5" ht="15" customHeight="1">
      <c r="A44" s="135" t="s">
        <v>153</v>
      </c>
      <c r="B44" s="44">
        <f>'Các chỉ tiêu'!F26</f>
        <v>0.8936466404557555</v>
      </c>
      <c r="C44" s="44">
        <f>'Các chỉ tiêu'!G26</f>
        <v>0.7149137869763449</v>
      </c>
      <c r="D44" s="44">
        <f>'Các chỉ tiêu'!H26</f>
        <v>0.43516537976085695</v>
      </c>
      <c r="E44" s="98"/>
    </row>
    <row r="45" spans="1:5" ht="15" customHeight="1">
      <c r="A45" s="135" t="s">
        <v>154</v>
      </c>
      <c r="B45" s="44">
        <f>'Các chỉ tiêu'!F27</f>
        <v>0.10635335954424456</v>
      </c>
      <c r="C45" s="44">
        <f>'Các chỉ tiêu'!G27</f>
        <v>0.2850862130236551</v>
      </c>
      <c r="D45" s="44">
        <f>'Các chỉ tiêu'!H27</f>
        <v>0.564834620239143</v>
      </c>
      <c r="E45" s="98"/>
    </row>
    <row r="46" spans="1:5" ht="15" customHeight="1">
      <c r="A46" s="135" t="s">
        <v>136</v>
      </c>
      <c r="B46" s="44">
        <f>'Các chỉ tiêu'!F28</f>
        <v>0.7650964563162874</v>
      </c>
      <c r="C46" s="44">
        <f>'Các chỉ tiêu'!G28</f>
        <v>0.6227407896354176</v>
      </c>
      <c r="D46" s="44">
        <f>'Các chỉ tiêu'!H28</f>
        <v>0.38236646668669455</v>
      </c>
      <c r="E46" s="98"/>
    </row>
    <row r="47" spans="1:5" ht="15" customHeight="1">
      <c r="A47" s="135" t="s">
        <v>155</v>
      </c>
      <c r="B47" s="44">
        <f>'Các chỉ tiêu'!F29</f>
        <v>0.12855018413946806</v>
      </c>
      <c r="C47" s="44">
        <f>'Các chỉ tiêu'!G29</f>
        <v>0.09217299734092732</v>
      </c>
      <c r="D47" s="44">
        <f>'Các chỉ tiêu'!H29</f>
        <v>0.05279891307416242</v>
      </c>
      <c r="E47" s="98"/>
    </row>
    <row r="48" spans="1:5" ht="15" customHeight="1">
      <c r="A48" s="135" t="s">
        <v>138</v>
      </c>
      <c r="B48" s="44">
        <f>'Các chỉ tiêu'!F30</f>
        <v>6.062671085237833</v>
      </c>
      <c r="C48" s="44">
        <f>'Các chỉ tiêu'!G30</f>
        <v>7.0502483588138745</v>
      </c>
      <c r="D48" s="44">
        <f>'Các chỉ tiêu'!H30</f>
        <v>14.210092567936949</v>
      </c>
      <c r="E48" s="98"/>
    </row>
  </sheetData>
  <sheetProtection/>
  <mergeCells count="4">
    <mergeCell ref="A24:C24"/>
    <mergeCell ref="A29:C29"/>
    <mergeCell ref="A39:C39"/>
    <mergeCell ref="A1:D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51"/>
  <sheetViews>
    <sheetView zoomScalePageLayoutView="0" workbookViewId="0" topLeftCell="A1">
      <selection activeCell="C51" sqref="C51"/>
    </sheetView>
  </sheetViews>
  <sheetFormatPr defaultColWidth="9.140625" defaultRowHeight="12.75" customHeight="1"/>
  <cols>
    <col min="1" max="1" width="31.8515625" style="0" customWidth="1"/>
    <col min="2" max="2" width="18.00390625" style="0" customWidth="1"/>
    <col min="3" max="3" width="20.00390625" style="0" customWidth="1"/>
    <col min="4" max="4" width="19.57421875" style="0" customWidth="1"/>
    <col min="5" max="5" width="15.8515625" style="0" customWidth="1"/>
  </cols>
  <sheetData>
    <row r="1" spans="1:5" ht="15.75" customHeight="1">
      <c r="A1" s="16" t="s">
        <v>188</v>
      </c>
      <c r="B1" s="49" t="s">
        <v>298</v>
      </c>
      <c r="C1" s="49" t="s">
        <v>299</v>
      </c>
      <c r="D1" s="49" t="s">
        <v>300</v>
      </c>
      <c r="E1" s="20"/>
    </row>
    <row r="2" spans="1:5" ht="15.75" customHeight="1">
      <c r="A2" s="66" t="s">
        <v>189</v>
      </c>
      <c r="B2" s="49" t="s">
        <v>298</v>
      </c>
      <c r="C2" s="49" t="s">
        <v>299</v>
      </c>
      <c r="D2" s="49" t="s">
        <v>300</v>
      </c>
      <c r="E2" s="10"/>
    </row>
    <row r="3" spans="1:5" ht="15.75" customHeight="1">
      <c r="A3" s="22" t="s">
        <v>190</v>
      </c>
      <c r="B3" s="121">
        <f>+'Bao cao KQKD'!B4</f>
        <v>5432551340</v>
      </c>
      <c r="C3" s="121">
        <f>'Bao cao KQKD'!C4</f>
        <v>14129040317</v>
      </c>
      <c r="D3" s="121">
        <f>'Bao cao KQKD'!D4</f>
        <v>25524395235</v>
      </c>
      <c r="E3" s="136">
        <f>(D3-C3)/C3</f>
        <v>0.8065200935331155</v>
      </c>
    </row>
    <row r="4" spans="1:5" ht="15.75" customHeight="1">
      <c r="A4" s="22" t="s">
        <v>191</v>
      </c>
      <c r="B4" s="121">
        <f>'Bang can doi KT'!C73</f>
        <v>3632757589</v>
      </c>
      <c r="C4" s="121">
        <f>+'Bang can doi KT'!D73</f>
        <v>10922681111</v>
      </c>
      <c r="D4" s="121">
        <f>+'Bang can doi KT'!E73</f>
        <v>11078864430</v>
      </c>
      <c r="E4" s="107"/>
    </row>
    <row r="5" spans="1:5" ht="15.75" customHeight="1">
      <c r="A5" s="22" t="s">
        <v>192</v>
      </c>
      <c r="B5" s="121">
        <f>'Bang can doi KT'!C63</f>
        <v>386355974</v>
      </c>
      <c r="C5" s="121">
        <f>'Bang can doi KT'!D63</f>
        <v>3113905794</v>
      </c>
      <c r="D5" s="121">
        <f>'Bang can doi KT'!E63</f>
        <v>6257726183</v>
      </c>
      <c r="E5" s="107"/>
    </row>
    <row r="6" spans="1:5" ht="15.75" customHeight="1">
      <c r="A6" s="22" t="s">
        <v>74</v>
      </c>
      <c r="B6" s="121">
        <f>B3</f>
        <v>5432551340</v>
      </c>
      <c r="C6" s="121">
        <f>C3</f>
        <v>14129040317</v>
      </c>
      <c r="D6" s="121">
        <f>D3</f>
        <v>25524395235</v>
      </c>
      <c r="E6" s="107"/>
    </row>
    <row r="7" spans="1:5" ht="15.75" customHeight="1">
      <c r="A7" s="66" t="s">
        <v>193</v>
      </c>
      <c r="B7" s="49" t="s">
        <v>298</v>
      </c>
      <c r="C7" s="49" t="s">
        <v>299</v>
      </c>
      <c r="D7" s="49" t="s">
        <v>300</v>
      </c>
      <c r="E7" s="107"/>
    </row>
    <row r="8" spans="1:5" ht="15.75" customHeight="1">
      <c r="A8" s="22" t="s">
        <v>194</v>
      </c>
      <c r="B8" s="91">
        <f>+'Bao cao KQKD'!B17</f>
        <v>31614366</v>
      </c>
      <c r="C8" s="91">
        <f>'Bao cao KQKD'!C17</f>
        <v>107708084</v>
      </c>
      <c r="D8" s="91">
        <f>'Bao cao KQKD'!D17</f>
        <v>199750541</v>
      </c>
      <c r="E8" s="107"/>
    </row>
    <row r="9" spans="1:5" ht="15.75" customHeight="1">
      <c r="A9" s="22" t="s">
        <v>195</v>
      </c>
      <c r="B9" s="91">
        <f>+'Bao cao KQKD'!B19</f>
        <v>22742744</v>
      </c>
      <c r="C9" s="91">
        <f>'Bao cao KQKD'!C19</f>
        <v>77549820.47999999</v>
      </c>
      <c r="D9" s="91">
        <f>'Bao cao KQKD'!D19</f>
        <v>143820390</v>
      </c>
      <c r="E9" s="107"/>
    </row>
    <row r="10" spans="1:5" ht="15.75" customHeight="1">
      <c r="A10" s="22" t="s">
        <v>196</v>
      </c>
      <c r="B10" s="106">
        <f>B9/B6</f>
        <v>0.004186383630200539</v>
      </c>
      <c r="C10" s="103">
        <f>C9/C6</f>
        <v>0.005488682793741651</v>
      </c>
      <c r="D10" s="103">
        <f>D9/D6</f>
        <v>0.005634624784480227</v>
      </c>
      <c r="E10" s="107"/>
    </row>
    <row r="11" spans="1:5" ht="15.75" customHeight="1">
      <c r="A11" s="22" t="s">
        <v>197</v>
      </c>
      <c r="B11" s="106">
        <f>B9/B5</f>
        <v>0.05886474011140824</v>
      </c>
      <c r="C11" s="96">
        <f>C9/C5</f>
        <v>0.024904356653764583</v>
      </c>
      <c r="D11" s="96">
        <f>D9/D5</f>
        <v>0.022982851245666274</v>
      </c>
      <c r="E11" s="107"/>
    </row>
    <row r="12" spans="1:5" ht="15.75" customHeight="1">
      <c r="A12" s="66" t="s">
        <v>198</v>
      </c>
      <c r="B12" s="49" t="str">
        <f>B1</f>
        <v>Năm 2012</v>
      </c>
      <c r="C12" s="16" t="str">
        <f>C1</f>
        <v>Năm 2013</v>
      </c>
      <c r="D12" s="16" t="str">
        <f>D1</f>
        <v>Năm 2014</v>
      </c>
      <c r="E12" s="107"/>
    </row>
    <row r="13" spans="1:5" ht="15.75" customHeight="1">
      <c r="A13" s="22" t="s">
        <v>199</v>
      </c>
      <c r="B13" s="121">
        <f>+'Bang can doi KT'!C6</f>
        <v>398975731</v>
      </c>
      <c r="C13" s="121">
        <f>+'Bang can doi KT'!D6</f>
        <v>315354256</v>
      </c>
      <c r="D13" s="121">
        <f>+'Bang can doi KT'!E6</f>
        <v>439662685</v>
      </c>
      <c r="E13" s="107"/>
    </row>
    <row r="14" spans="1:5" ht="15.75" customHeight="1">
      <c r="A14" s="22" t="s">
        <v>200</v>
      </c>
      <c r="B14" s="121">
        <f>+'Bang can doi KT'!C9</f>
        <v>616377026</v>
      </c>
      <c r="C14" s="121">
        <f>+'Bang can doi KT'!D9</f>
        <v>1789764475</v>
      </c>
      <c r="D14" s="121">
        <f>+'Bang can doi KT'!E9</f>
        <v>1616581986</v>
      </c>
      <c r="E14" s="107"/>
    </row>
    <row r="15" spans="1:5" ht="15.75" customHeight="1">
      <c r="A15" s="22" t="s">
        <v>201</v>
      </c>
      <c r="B15" s="121">
        <f>+'Bang can doi KT'!C48</f>
        <v>2779409958</v>
      </c>
      <c r="C15" s="121">
        <f>+'Bang can doi KT'!D48</f>
        <v>6801999060</v>
      </c>
      <c r="D15" s="121">
        <f>+'Bang can doi KT'!E48</f>
        <v>4236186247</v>
      </c>
      <c r="E15" s="107"/>
    </row>
    <row r="16" spans="1:5" ht="15.75" customHeight="1">
      <c r="A16" s="22" t="s">
        <v>202</v>
      </c>
      <c r="B16" s="13">
        <f>((B13+B14)+B36)/B15</f>
        <v>1.1954639891953642</v>
      </c>
      <c r="C16" s="13">
        <f>((C13+C14)+C36)/C15</f>
        <v>1.519877862641163</v>
      </c>
      <c r="D16" s="13">
        <f>((D13+D14)+D36)/D15</f>
        <v>2.493512343438756</v>
      </c>
      <c r="E16" s="107"/>
    </row>
    <row r="17" spans="1:5" ht="15.75" customHeight="1">
      <c r="A17" s="22" t="s">
        <v>203</v>
      </c>
      <c r="B17" s="13">
        <f>(B13+B14)/B15</f>
        <v>0.3653123405122376</v>
      </c>
      <c r="C17" s="13">
        <f>(C13+C14)/C15</f>
        <v>0.30948530166365534</v>
      </c>
      <c r="D17" s="13">
        <f>(D13+D14)/D15</f>
        <v>0.48539996853448075</v>
      </c>
      <c r="E17" s="107"/>
    </row>
    <row r="18" spans="1:5" ht="15.75" customHeight="1">
      <c r="A18" s="22" t="s">
        <v>204</v>
      </c>
      <c r="B18" s="13">
        <f>B13/B15</f>
        <v>0.14354691716190504</v>
      </c>
      <c r="C18" s="13">
        <f>C13/C15</f>
        <v>0.046361996409920114</v>
      </c>
      <c r="D18" s="13">
        <f>D13/D15</f>
        <v>0.10378738312352583</v>
      </c>
      <c r="E18" s="107"/>
    </row>
    <row r="19" spans="1:5" ht="15.75" customHeight="1">
      <c r="A19" s="66" t="s">
        <v>205</v>
      </c>
      <c r="B19" s="18" t="str">
        <f>B12</f>
        <v>Năm 2012</v>
      </c>
      <c r="C19" s="18" t="str">
        <f>C12</f>
        <v>Năm 2013</v>
      </c>
      <c r="D19" s="18" t="str">
        <f>D12</f>
        <v>Năm 2014</v>
      </c>
      <c r="E19" s="107"/>
    </row>
    <row r="20" spans="1:5" ht="15.75" customHeight="1">
      <c r="A20" s="22" t="s">
        <v>206</v>
      </c>
      <c r="B20" s="71">
        <f>B5/B4</f>
        <v>0.10635335954424456</v>
      </c>
      <c r="C20" s="71">
        <f>C5/C4</f>
        <v>0.2850862130236551</v>
      </c>
      <c r="D20" s="71">
        <f>D5/D4</f>
        <v>0.564834620239143</v>
      </c>
      <c r="E20" s="107"/>
    </row>
    <row r="21" spans="1:5" ht="15.75" customHeight="1">
      <c r="A21" s="22" t="s">
        <v>207</v>
      </c>
      <c r="B21" s="71">
        <f>B26/B4</f>
        <v>0.08535473821289428</v>
      </c>
      <c r="C21" s="71">
        <f>C26/C4</f>
        <v>0.053510059669451424</v>
      </c>
      <c r="D21" s="71">
        <f>D26/D4</f>
        <v>0.046564495599663185</v>
      </c>
      <c r="E21" s="107"/>
    </row>
    <row r="22" spans="1:5" ht="15.75" customHeight="1">
      <c r="A22" s="66" t="s">
        <v>208</v>
      </c>
      <c r="B22" s="18" t="str">
        <f>B19</f>
        <v>Năm 2012</v>
      </c>
      <c r="C22" s="18" t="str">
        <f>C19</f>
        <v>Năm 2013</v>
      </c>
      <c r="D22" s="18" t="str">
        <f>D19</f>
        <v>Năm 2014</v>
      </c>
      <c r="E22" s="107"/>
    </row>
    <row r="23" spans="1:5" ht="15.75" customHeight="1">
      <c r="A23" s="87" t="s">
        <v>209</v>
      </c>
      <c r="B23" s="114">
        <f>B24+B25</f>
        <v>853347631</v>
      </c>
      <c r="C23" s="114">
        <f>C24+C25</f>
        <v>4120682051</v>
      </c>
      <c r="D23" s="114">
        <f>D24+D25</f>
        <v>6842678183</v>
      </c>
      <c r="E23" s="107"/>
    </row>
    <row r="24" spans="1:5" ht="15.75" customHeight="1">
      <c r="A24" s="22" t="s">
        <v>210</v>
      </c>
      <c r="B24" s="121">
        <f>+'Bang can doi KT'!C63</f>
        <v>386355974</v>
      </c>
      <c r="C24" s="121">
        <f>+'Bang can doi KT'!D63</f>
        <v>3113905794</v>
      </c>
      <c r="D24" s="121">
        <f>+'Bang can doi KT'!E63</f>
        <v>6257726183</v>
      </c>
      <c r="E24" s="107"/>
    </row>
    <row r="25" spans="1:5" ht="15.75" customHeight="1">
      <c r="A25" s="22" t="s">
        <v>211</v>
      </c>
      <c r="B25" s="121">
        <f>+'Bang can doi KT'!C58</f>
        <v>466991657</v>
      </c>
      <c r="C25" s="121">
        <f>+'Bang can doi KT'!D58</f>
        <v>1006776257</v>
      </c>
      <c r="D25" s="121">
        <f>+'Bang can doi KT'!E58</f>
        <v>584952000</v>
      </c>
      <c r="E25" s="107"/>
    </row>
    <row r="26" spans="1:5" ht="15.75" customHeight="1">
      <c r="A26" s="87" t="s">
        <v>212</v>
      </c>
      <c r="B26" s="31">
        <f>+'Bang can doi KT'!C28</f>
        <v>310073073</v>
      </c>
      <c r="C26" s="31">
        <f>+'Bang can doi KT'!D28</f>
        <v>584473318</v>
      </c>
      <c r="D26" s="31">
        <f>+'Bang can doi KT'!E28</f>
        <v>515881734</v>
      </c>
      <c r="E26" s="107"/>
    </row>
    <row r="27" spans="1:5" ht="15.75" customHeight="1">
      <c r="A27" s="74" t="s">
        <v>213</v>
      </c>
      <c r="B27" s="94">
        <f>B23-B26</f>
        <v>543274558</v>
      </c>
      <c r="C27" s="94">
        <f>C23-C26</f>
        <v>3536208733</v>
      </c>
      <c r="D27" s="94">
        <f>D23-D26</f>
        <v>6326796449</v>
      </c>
      <c r="E27" s="107"/>
    </row>
    <row r="28" spans="1:5" ht="15.75" customHeight="1">
      <c r="A28" s="66" t="s">
        <v>214</v>
      </c>
      <c r="B28" s="1" t="str">
        <f>B22</f>
        <v>Năm 2012</v>
      </c>
      <c r="C28" s="1" t="str">
        <f>C22</f>
        <v>Năm 2013</v>
      </c>
      <c r="D28" s="1" t="str">
        <f>D22</f>
        <v>Năm 2014</v>
      </c>
      <c r="E28" s="107"/>
    </row>
    <row r="29" spans="1:5" ht="15.75" customHeight="1">
      <c r="A29" s="87" t="s">
        <v>215</v>
      </c>
      <c r="B29" s="114">
        <f>(B30+B32)+B33</f>
        <v>2779409958</v>
      </c>
      <c r="C29" s="114">
        <f>(C30+C32)+C33</f>
        <v>6801999060</v>
      </c>
      <c r="D29" s="114">
        <f>(D30+D32)+D33</f>
        <v>4236186247</v>
      </c>
      <c r="E29" s="107"/>
    </row>
    <row r="30" spans="1:5" ht="12.75" customHeight="1" hidden="1">
      <c r="A30" s="22"/>
      <c r="B30" s="91"/>
      <c r="C30" s="91"/>
      <c r="D30" s="91"/>
      <c r="E30" s="107"/>
    </row>
    <row r="31" spans="1:5" ht="12.75" customHeight="1" hidden="1">
      <c r="A31" s="22"/>
      <c r="B31" s="91"/>
      <c r="C31" s="91"/>
      <c r="D31" s="91"/>
      <c r="E31" s="107"/>
    </row>
    <row r="32" spans="1:5" ht="15.75" customHeight="1">
      <c r="A32" s="22" t="s">
        <v>201</v>
      </c>
      <c r="B32" s="121">
        <f>B15</f>
        <v>2779409958</v>
      </c>
      <c r="C32" s="121">
        <f>C15</f>
        <v>6801999060</v>
      </c>
      <c r="D32" s="121">
        <f>D15</f>
        <v>4236186247</v>
      </c>
      <c r="E32" s="107"/>
    </row>
    <row r="33" spans="1:5" ht="15.75" customHeight="1">
      <c r="A33" s="22" t="s">
        <v>216</v>
      </c>
      <c r="B33" s="121">
        <f>'Bang can doi KT'!D62</f>
        <v>0</v>
      </c>
      <c r="C33" s="121">
        <f>'Bang can doi KT'!C62</f>
        <v>0</v>
      </c>
      <c r="D33" s="121">
        <f>'Bang can doi KT'!D62</f>
        <v>0</v>
      </c>
      <c r="E33" s="107"/>
    </row>
    <row r="34" spans="1:5" ht="15.75" customHeight="1">
      <c r="A34" s="87" t="s">
        <v>217</v>
      </c>
      <c r="B34" s="114">
        <f>((B35+B36)+B37)+B38</f>
        <v>3322684516</v>
      </c>
      <c r="C34" s="114">
        <f>((C35+C36)+C37)+C38</f>
        <v>10338207793</v>
      </c>
      <c r="D34" s="114">
        <f>((D35+D36)+D37)+D38</f>
        <v>10562982696</v>
      </c>
      <c r="E34" s="107"/>
    </row>
    <row r="35" spans="1:5" ht="15.75" customHeight="1">
      <c r="A35" s="22" t="s">
        <v>199</v>
      </c>
      <c r="B35" s="121">
        <f>B13</f>
        <v>398975731</v>
      </c>
      <c r="C35" s="121">
        <f>+'Bang can doi KT'!D6</f>
        <v>315354256</v>
      </c>
      <c r="D35" s="121">
        <f>+'Bang can doi KT'!E6</f>
        <v>439662685</v>
      </c>
      <c r="E35" s="107"/>
    </row>
    <row r="36" spans="1:5" ht="15.75" customHeight="1">
      <c r="A36" s="22" t="s">
        <v>218</v>
      </c>
      <c r="B36" s="121">
        <f>+'Bang can doi KT'!C16</f>
        <v>2307331759</v>
      </c>
      <c r="C36" s="121">
        <f>+'Bang can doi KT'!D16</f>
        <v>8233089062</v>
      </c>
      <c r="D36" s="121">
        <f>+'Bang can doi KT'!E16</f>
        <v>8506738025</v>
      </c>
      <c r="E36" s="107"/>
    </row>
    <row r="37" spans="1:5" ht="15.75" customHeight="1">
      <c r="A37" s="22" t="s">
        <v>26</v>
      </c>
      <c r="B37" s="121">
        <f>+'Bang can doi KT'!C24</f>
        <v>0</v>
      </c>
      <c r="C37" s="121">
        <f>+'Bang can doi KT'!D24</f>
        <v>0</v>
      </c>
      <c r="D37" s="121">
        <f>+'Bang can doi KT'!E24</f>
        <v>0</v>
      </c>
      <c r="E37" s="107"/>
    </row>
    <row r="38" spans="1:5" ht="15.75" customHeight="1">
      <c r="A38" s="22" t="s">
        <v>200</v>
      </c>
      <c r="B38" s="121">
        <f>+'Bang can doi KT'!C9</f>
        <v>616377026</v>
      </c>
      <c r="C38" s="121">
        <f>+'Bang can doi KT'!D9</f>
        <v>1789764475</v>
      </c>
      <c r="D38" s="121">
        <f>+'Bang can doi KT'!E9</f>
        <v>1616581986</v>
      </c>
      <c r="E38" s="107"/>
    </row>
    <row r="39" spans="1:5" ht="15.75" customHeight="1">
      <c r="A39" s="74" t="s">
        <v>213</v>
      </c>
      <c r="B39" s="94">
        <f>B29-B34</f>
        <v>-543274558</v>
      </c>
      <c r="C39" s="94">
        <f>C29-C34</f>
        <v>-3536208733</v>
      </c>
      <c r="D39" s="94">
        <f>D29-D34</f>
        <v>-6326796449</v>
      </c>
      <c r="E39" s="107"/>
    </row>
    <row r="40" spans="1:5" ht="15.75" customHeight="1">
      <c r="A40" s="66" t="s">
        <v>219</v>
      </c>
      <c r="B40" s="18" t="str">
        <f>B22</f>
        <v>Năm 2012</v>
      </c>
      <c r="C40" s="18" t="str">
        <f>C22</f>
        <v>Năm 2013</v>
      </c>
      <c r="D40" s="18" t="str">
        <f>D22</f>
        <v>Năm 2014</v>
      </c>
      <c r="E40" s="107"/>
    </row>
    <row r="41" spans="1:5" ht="15.75" customHeight="1">
      <c r="A41" s="22" t="s">
        <v>220</v>
      </c>
      <c r="B41" s="118">
        <f>+'Các chỉ tiêu'!F17</f>
        <v>40.845583497053525</v>
      </c>
      <c r="C41" s="13">
        <f>+'Các chỉ tiêu'!G17</f>
        <v>45.602192119500344</v>
      </c>
      <c r="D41" s="13">
        <f>+'Các chỉ tiêu'!H17</f>
        <v>22.800521211252118</v>
      </c>
      <c r="E41" s="107"/>
    </row>
    <row r="42" spans="1:5" ht="14.25" customHeight="1">
      <c r="A42" s="22" t="s">
        <v>221</v>
      </c>
      <c r="B42" s="118">
        <f>+'Các chỉ tiêu'!F18</f>
        <v>171.69453314964943</v>
      </c>
      <c r="C42" s="118">
        <f>+'Các chỉ tiêu'!G18</f>
        <v>234.10319948449742</v>
      </c>
      <c r="D42" s="118">
        <f>+'Các chỉ tiêu'!H18</f>
        <v>133.89513506893098</v>
      </c>
      <c r="E42" s="107"/>
    </row>
    <row r="43" spans="1:5" ht="15.75" customHeight="1">
      <c r="A43" s="22" t="s">
        <v>222</v>
      </c>
      <c r="B43" s="118">
        <f>+'Các chỉ tiêu'!F19</f>
        <v>153.89205006021032</v>
      </c>
      <c r="C43" s="118">
        <f>+'Các chỉ tiêu'!G19</f>
        <v>106.39706121515773</v>
      </c>
      <c r="D43" s="118">
        <f>+'Các chỉ tiêu'!H19</f>
        <v>58.24053072590839</v>
      </c>
      <c r="E43" s="107"/>
    </row>
    <row r="44" spans="1:5" ht="15.75" customHeight="1">
      <c r="A44" s="22" t="s">
        <v>223</v>
      </c>
      <c r="B44" s="118">
        <f>+'Các chỉ tiêu'!F17</f>
        <v>40.845583497053525</v>
      </c>
      <c r="C44" s="118">
        <f>+'Các chỉ tiêu'!G17</f>
        <v>45.602192119500344</v>
      </c>
      <c r="D44" s="118">
        <f>+'Các chỉ tiêu'!H17</f>
        <v>22.800521211252118</v>
      </c>
      <c r="E44" s="107"/>
    </row>
    <row r="45" spans="1:5" ht="15.75" customHeight="1">
      <c r="A45" s="22" t="s">
        <v>224</v>
      </c>
      <c r="B45" s="118">
        <f>+B6/B36</f>
        <v>2.3544734383383488</v>
      </c>
      <c r="C45" s="118">
        <f>+C6/C36</f>
        <v>1.7161286864019107</v>
      </c>
      <c r="D45" s="118">
        <f>+D6/D36</f>
        <v>3.000491511550927</v>
      </c>
      <c r="E45" s="107"/>
    </row>
    <row r="46" spans="1:5" ht="15.75" customHeight="1">
      <c r="A46" s="90" t="s">
        <v>225</v>
      </c>
      <c r="B46" s="77">
        <f>B42+B41</f>
        <v>212.54011664670296</v>
      </c>
      <c r="C46" s="77">
        <f>C41+C42</f>
        <v>279.7053916039978</v>
      </c>
      <c r="D46" s="77">
        <f>D41+D42</f>
        <v>156.6956562801831</v>
      </c>
      <c r="E46" s="107"/>
    </row>
    <row r="47" spans="1:4" ht="12.75">
      <c r="A47" s="17"/>
      <c r="B47" s="17"/>
      <c r="C47" s="17"/>
      <c r="D47" s="17"/>
    </row>
    <row r="50" spans="2:5" ht="12.75">
      <c r="B50" s="73"/>
      <c r="C50" s="73"/>
      <c r="D50" s="73"/>
      <c r="E50" s="73"/>
    </row>
    <row r="51" spans="2:5" ht="12.75">
      <c r="B51" s="36"/>
      <c r="C51" s="17"/>
      <c r="D51" s="17"/>
      <c r="E51" s="17"/>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60"/>
  <sheetViews>
    <sheetView tabSelected="1" zoomScalePageLayoutView="0" workbookViewId="0" topLeftCell="A40">
      <selection activeCell="C24" sqref="C24"/>
    </sheetView>
  </sheetViews>
  <sheetFormatPr defaultColWidth="9.140625" defaultRowHeight="12.75" customHeight="1"/>
  <cols>
    <col min="2" max="2" width="53.8515625" style="0" customWidth="1"/>
    <col min="3" max="3" width="20.00390625" style="0" customWidth="1"/>
    <col min="4" max="4" width="18.00390625" style="0" customWidth="1"/>
    <col min="5" max="5" width="20.57421875" style="0" customWidth="1"/>
    <col min="6" max="7" width="16.421875" style="0" customWidth="1"/>
    <col min="8" max="8" width="13.57421875" style="0" customWidth="1"/>
    <col min="9" max="9" width="13.8515625" style="0" customWidth="1"/>
  </cols>
  <sheetData>
    <row r="1" ht="12.75">
      <c r="A1" s="143" t="s">
        <v>226</v>
      </c>
    </row>
    <row r="2" spans="2:3" ht="12.75">
      <c r="B2" s="73"/>
      <c r="C2" s="73"/>
    </row>
    <row r="3" spans="1:4" ht="14.25" customHeight="1">
      <c r="A3" s="67"/>
      <c r="B3" s="43" t="s">
        <v>301</v>
      </c>
      <c r="C3" s="25" t="s">
        <v>227</v>
      </c>
      <c r="D3" s="116"/>
    </row>
    <row r="4" spans="1:4" ht="15" customHeight="1">
      <c r="A4" s="67"/>
      <c r="B4" s="48" t="s">
        <v>228</v>
      </c>
      <c r="C4" s="135">
        <f>250000000000*0.8</f>
        <v>200000000000</v>
      </c>
      <c r="D4" s="116"/>
    </row>
    <row r="5" spans="1:4" ht="15" customHeight="1">
      <c r="A5" s="67"/>
      <c r="B5" s="48" t="s">
        <v>229</v>
      </c>
      <c r="C5" s="123">
        <v>0.82</v>
      </c>
      <c r="D5" s="116"/>
    </row>
    <row r="6" spans="1:4" ht="15" customHeight="1">
      <c r="A6" s="67"/>
      <c r="B6" s="48" t="s">
        <v>230</v>
      </c>
      <c r="C6" s="123">
        <v>0.11</v>
      </c>
      <c r="D6" s="116">
        <f>+C4*0.07</f>
        <v>14000000000.000002</v>
      </c>
    </row>
    <row r="7" spans="1:4" ht="15" customHeight="1">
      <c r="A7" s="67"/>
      <c r="B7" s="48" t="s">
        <v>231</v>
      </c>
      <c r="C7" s="83">
        <v>50</v>
      </c>
      <c r="D7" s="116"/>
    </row>
    <row r="8" spans="1:4" ht="15" customHeight="1">
      <c r="A8" s="67"/>
      <c r="B8" s="26" t="s">
        <v>232</v>
      </c>
      <c r="C8" s="50">
        <v>70</v>
      </c>
      <c r="D8" s="116"/>
    </row>
    <row r="9" spans="1:4" ht="15" customHeight="1">
      <c r="A9" s="67"/>
      <c r="B9" s="26" t="s">
        <v>233</v>
      </c>
      <c r="C9" s="50">
        <v>90</v>
      </c>
      <c r="D9" s="116"/>
    </row>
    <row r="10" spans="1:4" ht="15" customHeight="1">
      <c r="A10" s="67"/>
      <c r="B10" s="26" t="s">
        <v>234</v>
      </c>
      <c r="C10" s="50">
        <v>60</v>
      </c>
      <c r="D10" s="116"/>
    </row>
    <row r="11" spans="1:4" ht="15" customHeight="1">
      <c r="A11" s="67"/>
      <c r="B11" s="26" t="s">
        <v>235</v>
      </c>
      <c r="C11" s="50">
        <v>90</v>
      </c>
      <c r="D11" s="116"/>
    </row>
    <row r="12" spans="1:4" ht="15" customHeight="1">
      <c r="A12" s="67"/>
      <c r="B12" s="26" t="s">
        <v>236</v>
      </c>
      <c r="C12" s="117">
        <v>0</v>
      </c>
      <c r="D12" s="116"/>
    </row>
    <row r="13" spans="2:4" ht="14.25" customHeight="1">
      <c r="B13" s="32" t="s">
        <v>237</v>
      </c>
      <c r="C13" s="32"/>
      <c r="D13" s="85"/>
    </row>
    <row r="14" spans="1:4" ht="15" customHeight="1">
      <c r="A14" s="67"/>
      <c r="B14" s="48" t="s">
        <v>238</v>
      </c>
      <c r="C14" s="108">
        <f>C4*(C5+C6)</f>
        <v>186000000000</v>
      </c>
      <c r="D14" s="116"/>
    </row>
    <row r="15" spans="1:4" ht="30" customHeight="1">
      <c r="A15" s="67"/>
      <c r="B15" s="26" t="s">
        <v>239</v>
      </c>
      <c r="C15" s="108">
        <f>((C7+C8)+C9)+C10</f>
        <v>270</v>
      </c>
      <c r="D15" s="7">
        <f>365/C15</f>
        <v>1.3518518518518519</v>
      </c>
    </row>
    <row r="16" spans="1:4" ht="15" customHeight="1">
      <c r="A16" s="67"/>
      <c r="B16" s="26" t="s">
        <v>240</v>
      </c>
      <c r="C16" s="11">
        <f>365/C15</f>
        <v>1.3518518518518519</v>
      </c>
      <c r="D16" s="116">
        <f>365/C16</f>
        <v>270</v>
      </c>
    </row>
    <row r="17" spans="1:4" ht="28.5" customHeight="1">
      <c r="A17" s="67"/>
      <c r="B17" s="142" t="s">
        <v>241</v>
      </c>
      <c r="C17" s="40">
        <f>C14/C16</f>
        <v>137589041095.8904</v>
      </c>
      <c r="D17" s="116">
        <f>+D16/30</f>
        <v>9</v>
      </c>
    </row>
    <row r="18" spans="2:4" ht="14.25" customHeight="1">
      <c r="B18" s="126" t="s">
        <v>242</v>
      </c>
      <c r="C18" s="126"/>
      <c r="D18" s="85"/>
    </row>
    <row r="19" spans="2:4" ht="14.25" customHeight="1">
      <c r="B19" s="144"/>
      <c r="C19" s="144"/>
      <c r="D19" s="85"/>
    </row>
    <row r="20" spans="1:4" ht="15" customHeight="1">
      <c r="A20" s="67"/>
      <c r="B20" s="52" t="s">
        <v>243</v>
      </c>
      <c r="C20" s="108">
        <f>'Bang can doi KT'!E63</f>
        <v>6257726183</v>
      </c>
      <c r="D20" s="116"/>
    </row>
    <row r="21" spans="1:4" ht="15" customHeight="1">
      <c r="A21" s="67"/>
      <c r="B21" s="52" t="s">
        <v>60</v>
      </c>
      <c r="C21" s="108">
        <f>'Bang can doi KT'!E59</f>
        <v>584952000</v>
      </c>
      <c r="D21" s="57"/>
    </row>
    <row r="22" spans="1:4" ht="15" customHeight="1">
      <c r="A22" s="67"/>
      <c r="B22" s="52" t="s">
        <v>244</v>
      </c>
      <c r="C22" s="108">
        <v>0</v>
      </c>
      <c r="D22" s="69"/>
    </row>
    <row r="23" spans="1:4" ht="15" customHeight="1">
      <c r="A23" s="67"/>
      <c r="B23" s="52" t="s">
        <v>245</v>
      </c>
      <c r="C23" s="108">
        <f>'Bang can doi KT'!E28</f>
        <v>515881734</v>
      </c>
      <c r="D23" s="37"/>
    </row>
    <row r="24" spans="1:4" ht="15" customHeight="1">
      <c r="A24" s="67"/>
      <c r="B24" s="52" t="s">
        <v>246</v>
      </c>
      <c r="C24" s="108"/>
      <c r="D24" s="116"/>
    </row>
    <row r="25" spans="1:4" ht="30" customHeight="1">
      <c r="A25" s="67"/>
      <c r="B25" s="132" t="s">
        <v>247</v>
      </c>
      <c r="C25" s="108">
        <f>(((C20+C21)+C22)-C23)-C24</f>
        <v>6326796449</v>
      </c>
      <c r="D25" s="98"/>
    </row>
    <row r="26" spans="1:4" ht="45" customHeight="1">
      <c r="A26" s="67"/>
      <c r="B26" s="38" t="s">
        <v>248</v>
      </c>
      <c r="C26" s="108">
        <f>'Bao cao KQKD'!D6/360*C11</f>
        <v>5717955487</v>
      </c>
      <c r="D26" s="110"/>
    </row>
    <row r="27" spans="1:4" ht="15" customHeight="1">
      <c r="A27" s="67"/>
      <c r="B27" s="38" t="s">
        <v>249</v>
      </c>
      <c r="C27" s="108">
        <v>34000000000</v>
      </c>
      <c r="D27" s="116">
        <v>200200000000</v>
      </c>
    </row>
    <row r="28" spans="1:4" ht="15" customHeight="1">
      <c r="A28" s="67"/>
      <c r="B28" s="38" t="s">
        <v>250</v>
      </c>
      <c r="C28" s="108">
        <v>12000000000</v>
      </c>
      <c r="D28" s="98"/>
    </row>
    <row r="29" spans="1:4" ht="30" customHeight="1">
      <c r="A29" s="67"/>
      <c r="B29" s="38" t="s">
        <v>251</v>
      </c>
      <c r="C29" s="108">
        <f>C12*C17</f>
        <v>0</v>
      </c>
      <c r="D29" s="98"/>
    </row>
    <row r="30" spans="1:4" ht="14.25" customHeight="1">
      <c r="A30" s="67"/>
      <c r="B30" s="72" t="s">
        <v>252</v>
      </c>
      <c r="C30" s="81">
        <f>C17-((((C25+C26)+C27)+C28)+C29)</f>
        <v>79544289159.89041</v>
      </c>
      <c r="D30" s="116">
        <v>50000000000</v>
      </c>
    </row>
    <row r="31" spans="2:4" ht="14.25" customHeight="1">
      <c r="B31" s="208" t="s">
        <v>253</v>
      </c>
      <c r="C31" s="203"/>
      <c r="D31" s="85">
        <f>+D30-C28</f>
        <v>38000000000</v>
      </c>
    </row>
    <row r="32" spans="1:4" ht="14.25" customHeight="1">
      <c r="A32" s="67"/>
      <c r="B32" s="43" t="s">
        <v>254</v>
      </c>
      <c r="C32" s="43" t="s">
        <v>255</v>
      </c>
      <c r="D32" s="98"/>
    </row>
    <row r="33" spans="1:4" ht="15" customHeight="1">
      <c r="A33" s="67"/>
      <c r="B33" s="48" t="s">
        <v>256</v>
      </c>
      <c r="C33" s="129">
        <f>C4*C5</f>
        <v>164000000000</v>
      </c>
      <c r="D33" s="116">
        <f>+C33+3400000000</f>
        <v>167400000000</v>
      </c>
    </row>
    <row r="34" spans="1:4" ht="15" customHeight="1">
      <c r="A34" s="67"/>
      <c r="B34" s="48" t="s">
        <v>257</v>
      </c>
      <c r="C34" s="123">
        <v>0.94</v>
      </c>
      <c r="D34" s="98"/>
    </row>
    <row r="35" spans="1:4" ht="15" customHeight="1">
      <c r="A35" s="67"/>
      <c r="B35" s="48" t="s">
        <v>258</v>
      </c>
      <c r="C35" s="129">
        <f>C33*C34</f>
        <v>154160000000</v>
      </c>
      <c r="D35" s="98"/>
    </row>
    <row r="36" spans="1:4" ht="15" customHeight="1">
      <c r="A36" s="67"/>
      <c r="B36" s="48" t="s">
        <v>259</v>
      </c>
      <c r="C36" s="129">
        <v>100</v>
      </c>
      <c r="D36" s="98"/>
    </row>
    <row r="37" spans="1:4" ht="30" customHeight="1">
      <c r="A37" s="67"/>
      <c r="B37" s="130" t="s">
        <v>260</v>
      </c>
      <c r="C37" s="55">
        <f>(C35/365)*C36</f>
        <v>42235616438.35617</v>
      </c>
      <c r="D37" s="116"/>
    </row>
    <row r="38" spans="1:5" ht="29.25" customHeight="1">
      <c r="A38" s="67"/>
      <c r="B38" s="72" t="s">
        <v>261</v>
      </c>
      <c r="C38" s="81">
        <f>C37*1.5</f>
        <v>63353424657.534256</v>
      </c>
      <c r="D38" s="116">
        <f>+C38/16100</f>
        <v>3934995.3203437426</v>
      </c>
      <c r="E38" s="15">
        <f>+C38*0.8</f>
        <v>50682739726.027405</v>
      </c>
    </row>
    <row r="39" spans="2:3" ht="15" customHeight="1">
      <c r="B39" s="61"/>
      <c r="C39" s="61"/>
    </row>
    <row r="40" spans="2:10" ht="14.25" customHeight="1">
      <c r="B40" s="45" t="s">
        <v>262</v>
      </c>
      <c r="C40" s="45" t="s">
        <v>263</v>
      </c>
      <c r="D40" s="89">
        <f>C4*0.8</f>
        <v>160000000000</v>
      </c>
      <c r="E40" s="78" t="s">
        <v>264</v>
      </c>
      <c r="F40" s="73"/>
      <c r="G40" s="73"/>
      <c r="H40" s="73"/>
      <c r="I40" s="73"/>
      <c r="J40" s="73"/>
    </row>
    <row r="41" spans="1:10" ht="28.5" customHeight="1">
      <c r="A41" s="67"/>
      <c r="B41" s="21" t="s">
        <v>265</v>
      </c>
      <c r="C41" s="9" t="s">
        <v>266</v>
      </c>
      <c r="D41" s="51" t="s">
        <v>267</v>
      </c>
      <c r="E41" s="146" t="s">
        <v>268</v>
      </c>
      <c r="F41" s="92" t="s">
        <v>269</v>
      </c>
      <c r="G41" s="92" t="s">
        <v>270</v>
      </c>
      <c r="H41" s="146" t="s">
        <v>271</v>
      </c>
      <c r="I41" s="146" t="s">
        <v>272</v>
      </c>
      <c r="J41" s="146" t="s">
        <v>273</v>
      </c>
    </row>
    <row r="42" spans="1:10" ht="15" customHeight="1">
      <c r="A42" s="67"/>
      <c r="B42" s="125" t="s">
        <v>274</v>
      </c>
      <c r="C42" s="131">
        <v>90</v>
      </c>
      <c r="D42" s="29">
        <v>0.05</v>
      </c>
      <c r="E42" s="27">
        <f>(((D40*D42)*1.7)*90)/365</f>
        <v>3353424657.5342464</v>
      </c>
      <c r="F42" s="27">
        <f>E42*H42</f>
        <v>335342465.75342464</v>
      </c>
      <c r="G42" s="27"/>
      <c r="H42" s="64">
        <v>0.1</v>
      </c>
      <c r="I42" s="64"/>
      <c r="J42" s="64">
        <v>0.9</v>
      </c>
    </row>
    <row r="43" spans="1:10" ht="12.75">
      <c r="A43" s="67"/>
      <c r="B43" s="125" t="s">
        <v>275</v>
      </c>
      <c r="C43" s="125">
        <v>120</v>
      </c>
      <c r="D43" s="29">
        <v>0.1</v>
      </c>
      <c r="E43" s="27">
        <f>((D40*D43)*C43)/365</f>
        <v>5260273972.602739</v>
      </c>
      <c r="F43" s="27">
        <f>E43*H43</f>
        <v>1052054794.5205479</v>
      </c>
      <c r="G43" s="27">
        <f>E43*I43</f>
        <v>2630136986.3013697</v>
      </c>
      <c r="H43" s="64">
        <v>0.2</v>
      </c>
      <c r="I43" s="64">
        <v>0.5</v>
      </c>
      <c r="J43" s="64">
        <v>0.3</v>
      </c>
    </row>
    <row r="44" spans="1:10" ht="12.75">
      <c r="A44" s="67"/>
      <c r="B44" s="125" t="s">
        <v>276</v>
      </c>
      <c r="C44" s="125">
        <v>360</v>
      </c>
      <c r="D44" s="29">
        <v>0.03</v>
      </c>
      <c r="E44" s="27">
        <f>(D40*D44)*0.5</f>
        <v>2400000000</v>
      </c>
      <c r="F44" s="27">
        <f>E44*H44</f>
        <v>480000000</v>
      </c>
      <c r="G44" s="27">
        <f>E44*I44</f>
        <v>1920000000</v>
      </c>
      <c r="H44" s="64">
        <v>0.2</v>
      </c>
      <c r="I44" s="64">
        <v>0.8</v>
      </c>
      <c r="J44" s="64">
        <v>0</v>
      </c>
    </row>
    <row r="45" spans="1:10" ht="12.75">
      <c r="A45" s="67"/>
      <c r="B45" s="125" t="s">
        <v>277</v>
      </c>
      <c r="C45" s="125">
        <v>60</v>
      </c>
      <c r="D45" s="29">
        <v>0.15</v>
      </c>
      <c r="E45" s="27">
        <f>(((D40*D45)*0.5)*60)/365</f>
        <v>1972602739.7260275</v>
      </c>
      <c r="F45" s="27">
        <f>E45*H45</f>
        <v>394520547.9452055</v>
      </c>
      <c r="G45" s="27">
        <f>E45*I45</f>
        <v>1578082191.780822</v>
      </c>
      <c r="H45" s="64">
        <v>0.2</v>
      </c>
      <c r="I45" s="64">
        <v>0.8</v>
      </c>
      <c r="J45" s="64">
        <v>0</v>
      </c>
    </row>
    <row r="46" spans="5:7" ht="12.75">
      <c r="E46" s="62">
        <f>SUM(E42:E45)</f>
        <v>12986301369.863014</v>
      </c>
      <c r="F46" s="62">
        <f>SUM(F42:F45)</f>
        <v>2261917808.219178</v>
      </c>
      <c r="G46" s="62">
        <f>SUM(G42:G45)</f>
        <v>6128219178.082191</v>
      </c>
    </row>
    <row r="47" spans="2:7" ht="12.75">
      <c r="B47" s="73"/>
      <c r="C47" s="73"/>
      <c r="G47" s="85">
        <f>(G43+G44)-976000000</f>
        <v>3574136986.3013697</v>
      </c>
    </row>
    <row r="48" spans="1:4" ht="14.25" customHeight="1">
      <c r="A48" s="67"/>
      <c r="B48" s="3" t="s">
        <v>278</v>
      </c>
      <c r="C48" s="55">
        <f>SUM(C50:C52)</f>
        <v>186137249097</v>
      </c>
      <c r="D48" s="98"/>
    </row>
    <row r="49" spans="1:4" ht="15" customHeight="1">
      <c r="A49" s="67"/>
      <c r="B49" s="137" t="s">
        <v>279</v>
      </c>
      <c r="C49" s="48"/>
      <c r="D49" s="98"/>
    </row>
    <row r="50" spans="1:4" ht="15" customHeight="1">
      <c r="A50" s="67"/>
      <c r="B50" s="141" t="s">
        <v>280</v>
      </c>
      <c r="C50" s="113">
        <f>C4*C5</f>
        <v>164000000000</v>
      </c>
      <c r="D50" s="98"/>
    </row>
    <row r="51" spans="1:4" ht="15" customHeight="1">
      <c r="A51" s="67"/>
      <c r="B51" s="141" t="s">
        <v>281</v>
      </c>
      <c r="C51" s="113">
        <f>C4*C6</f>
        <v>22000000000</v>
      </c>
      <c r="D51" s="98"/>
    </row>
    <row r="52" spans="1:4" ht="15" customHeight="1">
      <c r="A52" s="67"/>
      <c r="B52" s="141" t="s">
        <v>282</v>
      </c>
      <c r="C52" s="113">
        <f>'Bang can doi KT'!D32</f>
        <v>137249097</v>
      </c>
      <c r="D52" s="98"/>
    </row>
    <row r="53" spans="1:4" ht="14.25" customHeight="1">
      <c r="A53" s="67"/>
      <c r="B53" s="3" t="s">
        <v>283</v>
      </c>
      <c r="C53" s="145">
        <f>C4-C48</f>
        <v>13862750903</v>
      </c>
      <c r="D53" s="98"/>
    </row>
    <row r="54" spans="1:4" ht="15" customHeight="1">
      <c r="A54" s="67"/>
      <c r="B54" s="2" t="s">
        <v>284</v>
      </c>
      <c r="C54" s="113">
        <f>C53*0.28</f>
        <v>3881570252.84</v>
      </c>
      <c r="D54" s="98"/>
    </row>
    <row r="55" spans="1:4" ht="14.25" customHeight="1">
      <c r="A55" s="67"/>
      <c r="B55" s="3" t="s">
        <v>285</v>
      </c>
      <c r="C55" s="60">
        <f>C53-C54</f>
        <v>9981180650.16</v>
      </c>
      <c r="D55" s="98"/>
    </row>
    <row r="56" spans="2:3" ht="12.75">
      <c r="B56" s="17"/>
      <c r="C56" s="17"/>
    </row>
    <row r="58" ht="12.75">
      <c r="C58" s="76">
        <f>(61+27)/2</f>
        <v>44</v>
      </c>
    </row>
    <row r="60" ht="12.75">
      <c r="C60" s="76">
        <f>31*1.35</f>
        <v>41.85</v>
      </c>
    </row>
  </sheetData>
  <sheetProtection/>
  <mergeCells count="1">
    <mergeCell ref="B31:C3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8"/>
  <sheetViews>
    <sheetView showGridLines="0" zoomScalePageLayoutView="0" workbookViewId="0" topLeftCell="A1">
      <selection activeCell="F10" sqref="F10"/>
    </sheetView>
  </sheetViews>
  <sheetFormatPr defaultColWidth="9.140625" defaultRowHeight="30" customHeight="1"/>
  <sheetData>
    <row r="1" spans="1:13" ht="24" customHeight="1">
      <c r="A1" s="140">
        <v>1</v>
      </c>
      <c r="B1" s="209" t="s">
        <v>286</v>
      </c>
      <c r="C1" s="200"/>
      <c r="D1" s="200"/>
      <c r="E1" s="200"/>
      <c r="F1" s="200"/>
      <c r="G1" s="200"/>
      <c r="H1" s="200"/>
      <c r="I1" s="200"/>
      <c r="J1" s="200"/>
      <c r="K1" s="200"/>
      <c r="L1" s="200"/>
      <c r="M1" s="200"/>
    </row>
    <row r="2" spans="1:12" ht="25.5" customHeight="1">
      <c r="A2" s="140">
        <v>2</v>
      </c>
      <c r="B2" s="209" t="s">
        <v>287</v>
      </c>
      <c r="C2" s="200"/>
      <c r="D2" s="200"/>
      <c r="E2" s="200"/>
      <c r="F2" s="200"/>
      <c r="G2" s="200"/>
      <c r="H2" s="200"/>
      <c r="I2" s="200"/>
      <c r="J2" s="200"/>
      <c r="K2" s="200"/>
      <c r="L2" s="200"/>
    </row>
    <row r="3" spans="1:12" ht="15">
      <c r="A3" s="140">
        <v>3</v>
      </c>
      <c r="B3" s="209" t="s">
        <v>288</v>
      </c>
      <c r="C3" s="200"/>
      <c r="D3" s="200"/>
      <c r="E3" s="200"/>
      <c r="F3" s="200"/>
      <c r="G3" s="200"/>
      <c r="H3" s="200"/>
      <c r="I3" s="200"/>
      <c r="J3" s="200"/>
      <c r="K3" s="200"/>
      <c r="L3" s="200"/>
    </row>
    <row r="4" spans="1:12" ht="36" customHeight="1">
      <c r="A4" s="140">
        <v>4</v>
      </c>
      <c r="B4" s="209" t="s">
        <v>289</v>
      </c>
      <c r="C4" s="200"/>
      <c r="D4" s="200"/>
      <c r="E4" s="200"/>
      <c r="F4" s="200"/>
      <c r="G4" s="200"/>
      <c r="H4" s="200"/>
      <c r="I4" s="200"/>
      <c r="J4" s="200"/>
      <c r="K4" s="200"/>
      <c r="L4" s="200"/>
    </row>
    <row r="5" spans="1:12" ht="39.75" customHeight="1">
      <c r="A5" s="140">
        <v>5</v>
      </c>
      <c r="B5" s="209" t="s">
        <v>290</v>
      </c>
      <c r="C5" s="200"/>
      <c r="D5" s="200"/>
      <c r="E5" s="200"/>
      <c r="F5" s="200"/>
      <c r="G5" s="200"/>
      <c r="H5" s="200"/>
      <c r="I5" s="200"/>
      <c r="J5" s="200"/>
      <c r="K5" s="200"/>
      <c r="L5" s="200"/>
    </row>
    <row r="6" spans="1:12" ht="48" customHeight="1">
      <c r="A6" s="140">
        <v>6</v>
      </c>
      <c r="B6" s="209" t="s">
        <v>291</v>
      </c>
      <c r="C6" s="200"/>
      <c r="D6" s="200"/>
      <c r="E6" s="200"/>
      <c r="F6" s="200"/>
      <c r="G6" s="200"/>
      <c r="H6" s="200"/>
      <c r="I6" s="200"/>
      <c r="J6" s="200"/>
      <c r="K6" s="200"/>
      <c r="L6" s="200"/>
    </row>
    <row r="7" spans="1:12" ht="38.25" customHeight="1">
      <c r="A7" s="140">
        <v>7</v>
      </c>
      <c r="B7" s="209" t="s">
        <v>292</v>
      </c>
      <c r="C7" s="200"/>
      <c r="D7" s="200"/>
      <c r="E7" s="200"/>
      <c r="F7" s="200"/>
      <c r="G7" s="200"/>
      <c r="H7" s="200"/>
      <c r="I7" s="200"/>
      <c r="J7" s="200"/>
      <c r="K7" s="200"/>
      <c r="L7" s="200"/>
    </row>
    <row r="8" spans="1:12" ht="34.5" customHeight="1">
      <c r="A8" s="140">
        <v>8</v>
      </c>
      <c r="B8" s="209" t="s">
        <v>293</v>
      </c>
      <c r="C8" s="200"/>
      <c r="D8" s="200"/>
      <c r="E8" s="200"/>
      <c r="F8" s="200"/>
      <c r="G8" s="200"/>
      <c r="H8" s="200"/>
      <c r="I8" s="200"/>
      <c r="J8" s="200"/>
      <c r="K8" s="200"/>
      <c r="L8" s="200"/>
    </row>
  </sheetData>
  <sheetProtection/>
  <mergeCells count="8">
    <mergeCell ref="B6:L6"/>
    <mergeCell ref="B7:L7"/>
    <mergeCell ref="B8:L8"/>
    <mergeCell ref="B1:M1"/>
    <mergeCell ref="B2:L2"/>
    <mergeCell ref="B3:L3"/>
    <mergeCell ref="B4:L4"/>
    <mergeCell ref="B5: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BIN</dc:creator>
  <cp:keywords/>
  <dc:description/>
  <cp:lastModifiedBy>Administrator</cp:lastModifiedBy>
  <cp:lastPrinted>2015-04-15T03:57:11Z</cp:lastPrinted>
  <dcterms:created xsi:type="dcterms:W3CDTF">2013-06-19T03:10:23Z</dcterms:created>
  <dcterms:modified xsi:type="dcterms:W3CDTF">2015-08-01T02:34:04Z</dcterms:modified>
  <cp:category/>
  <cp:version/>
  <cp:contentType/>
  <cp:contentStatus/>
</cp:coreProperties>
</file>