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D:\Documents\Viec ca nhan\Start-up dao tao Excel C&amp;B\Dao tao Nhan su - C&amp;B\Mau bang luong va VD tinh luong\Dang xay dung\"/>
    </mc:Choice>
  </mc:AlternateContent>
  <xr:revisionPtr revIDLastSave="0" documentId="13_ncr:1_{7BAFA21A-9C8B-4810-87FD-5E7A05F9B1B2}" xr6:coauthVersionLast="45" xr6:coauthVersionMax="45" xr10:uidLastSave="{00000000-0000-0000-0000-000000000000}"/>
  <bookViews>
    <workbookView xWindow="-120" yWindow="-120" windowWidth="21840" windowHeight="13140" tabRatio="760" xr2:uid="{00000000-000D-0000-FFFF-FFFF00000000}"/>
  </bookViews>
  <sheets>
    <sheet name="HDSD" sheetId="9" r:id="rId1"/>
    <sheet name="5. Bảng CC" sheetId="7" r:id="rId2"/>
    <sheet name="4. Tổng hợp dữ liệu" sheetId="1" r:id="rId3"/>
    <sheet name="3. Đơn xin nghỉ" sheetId="5" r:id="rId4"/>
    <sheet name="2. Đi muộn về sớm" sheetId="4" r:id="rId5"/>
    <sheet name="1. Vân tay" sheetId="2" r:id="rId6"/>
    <sheet name="Quy đổi công" sheetId="8" state="hidden" r:id="rId7"/>
  </sheets>
  <externalReferences>
    <externalReference r:id="rId8"/>
  </externalReferences>
  <definedNames>
    <definedName name="_xlnm._FilterDatabase" localSheetId="5" hidden="1">'1. Vân tay'!$A$5:$O$505</definedName>
    <definedName name="_xlnm._FilterDatabase" localSheetId="4" hidden="1">'2. Đi muộn về sớm'!$A$5:$K$21</definedName>
    <definedName name="_xlnm._FilterDatabase" localSheetId="3" hidden="1">'3. Đơn xin nghỉ'!$A$5:$X$26</definedName>
    <definedName name="_xlnm._FilterDatabase" localSheetId="2" hidden="1">'4. Tổng hợp dữ liệu'!$A$6:$BC$306</definedName>
  </definedNames>
  <calcPr calcId="191029"/>
</workbook>
</file>

<file path=xl/calcChain.xml><?xml version="1.0" encoding="utf-8"?>
<calcChain xmlns="http://schemas.openxmlformats.org/spreadsheetml/2006/main">
  <c r="AV17" i="7" l="1"/>
  <c r="AV18" i="7"/>
  <c r="AV19" i="7"/>
  <c r="AV20" i="7"/>
  <c r="AV21" i="7"/>
  <c r="AV22" i="7"/>
  <c r="AV23" i="7"/>
  <c r="AV24" i="7"/>
  <c r="AV25" i="7"/>
  <c r="AV16" i="7"/>
  <c r="C4" i="7"/>
  <c r="F10" i="9"/>
  <c r="F8" i="9"/>
  <c r="K2" i="4"/>
  <c r="K1" i="4"/>
  <c r="I7" i="4"/>
  <c r="I8" i="4"/>
  <c r="I9" i="4"/>
  <c r="I10" i="4"/>
  <c r="I11" i="4"/>
  <c r="I12" i="4"/>
  <c r="I13" i="4"/>
  <c r="I14" i="4"/>
  <c r="I15" i="4"/>
  <c r="I16" i="4"/>
  <c r="I17" i="4"/>
  <c r="I18" i="4"/>
  <c r="I19" i="4"/>
  <c r="I20" i="4"/>
  <c r="I21" i="4"/>
  <c r="I6" i="4"/>
  <c r="J7" i="4"/>
  <c r="J8" i="4"/>
  <c r="J9" i="4"/>
  <c r="J10" i="4"/>
  <c r="J11" i="4"/>
  <c r="J12" i="4"/>
  <c r="J13" i="4"/>
  <c r="J14" i="4"/>
  <c r="J15" i="4"/>
  <c r="J16" i="4"/>
  <c r="J17" i="4"/>
  <c r="J18" i="4"/>
  <c r="J19" i="4"/>
  <c r="J20" i="4"/>
  <c r="J21" i="4"/>
  <c r="J6" i="4"/>
  <c r="K12" i="4" l="1"/>
  <c r="K10" i="4"/>
  <c r="K7" i="4"/>
  <c r="K17" i="4"/>
  <c r="K9" i="4"/>
  <c r="K16" i="4"/>
  <c r="K8" i="4"/>
  <c r="K6" i="4"/>
  <c r="K14" i="4"/>
  <c r="K21" i="4"/>
  <c r="K19" i="4"/>
  <c r="K11" i="4"/>
  <c r="K13" i="4"/>
  <c r="K20" i="4"/>
  <c r="K18" i="4"/>
  <c r="K15" i="4"/>
  <c r="I4" i="4"/>
  <c r="AO17" i="7"/>
  <c r="AO18" i="7"/>
  <c r="AO19" i="7"/>
  <c r="AO20" i="7"/>
  <c r="AO21" i="7"/>
  <c r="AO22" i="7"/>
  <c r="AO23" i="7"/>
  <c r="AO24" i="7"/>
  <c r="AO25" i="7"/>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7" i="1"/>
  <c r="A7" i="4" l="1"/>
  <c r="A8" i="4"/>
  <c r="A9" i="4"/>
  <c r="A10" i="4"/>
  <c r="A11" i="4"/>
  <c r="A12" i="4"/>
  <c r="A13" i="4"/>
  <c r="A14" i="4"/>
  <c r="A15" i="4"/>
  <c r="A16" i="4"/>
  <c r="A17" i="4"/>
  <c r="A18" i="4"/>
  <c r="A19" i="4"/>
  <c r="A20" i="4"/>
  <c r="A21" i="4"/>
  <c r="A6" i="4"/>
  <c r="I7" i="5"/>
  <c r="I8" i="5"/>
  <c r="I9" i="5"/>
  <c r="I10" i="5"/>
  <c r="I11" i="5"/>
  <c r="I12" i="5"/>
  <c r="I13" i="5"/>
  <c r="I14" i="5"/>
  <c r="I15" i="5"/>
  <c r="I16" i="5"/>
  <c r="I17" i="5"/>
  <c r="I18" i="5"/>
  <c r="I19" i="5"/>
  <c r="I20" i="5"/>
  <c r="I21" i="5"/>
  <c r="I22" i="5"/>
  <c r="I23" i="5"/>
  <c r="I24" i="5"/>
  <c r="I25" i="5"/>
  <c r="I26" i="5"/>
  <c r="I6" i="5"/>
  <c r="J7" i="5"/>
  <c r="J8" i="5"/>
  <c r="J9" i="5"/>
  <c r="J10" i="5"/>
  <c r="J11" i="5"/>
  <c r="J12" i="5"/>
  <c r="J13" i="5"/>
  <c r="J14" i="5"/>
  <c r="J15" i="5"/>
  <c r="J16" i="5"/>
  <c r="J17" i="5"/>
  <c r="J18" i="5"/>
  <c r="J19" i="5"/>
  <c r="J20" i="5"/>
  <c r="J21" i="5"/>
  <c r="J22" i="5"/>
  <c r="J23" i="5"/>
  <c r="J24" i="5"/>
  <c r="J25" i="5"/>
  <c r="J26" i="5"/>
  <c r="J6" i="5"/>
  <c r="A23" i="5"/>
  <c r="A24" i="5"/>
  <c r="A25" i="5"/>
  <c r="A26" i="5"/>
  <c r="A7" i="5"/>
  <c r="A8" i="5"/>
  <c r="A9" i="5"/>
  <c r="A10" i="5"/>
  <c r="A11" i="5"/>
  <c r="A12" i="5"/>
  <c r="A13" i="5"/>
  <c r="A14" i="5"/>
  <c r="A15" i="5"/>
  <c r="A16" i="5"/>
  <c r="A17" i="5"/>
  <c r="A18" i="5"/>
  <c r="A19" i="5"/>
  <c r="A20" i="5"/>
  <c r="A21" i="5"/>
  <c r="A22" i="5"/>
  <c r="A6" i="5"/>
  <c r="H297" i="1" l="1"/>
  <c r="K297" i="1"/>
  <c r="M297" i="1"/>
  <c r="O297" i="1"/>
  <c r="Q297" i="1"/>
  <c r="AJ297" i="1"/>
  <c r="AL297" i="1"/>
  <c r="AP297" i="1"/>
  <c r="AQ297" i="1"/>
  <c r="AR297" i="1"/>
  <c r="AT297" i="1"/>
  <c r="H298" i="1"/>
  <c r="K298" i="1"/>
  <c r="M298" i="1"/>
  <c r="O298" i="1"/>
  <c r="Q298" i="1"/>
  <c r="AJ298" i="1"/>
  <c r="AL298" i="1"/>
  <c r="AP298" i="1"/>
  <c r="AQ298" i="1"/>
  <c r="AR298" i="1"/>
  <c r="AT298" i="1"/>
  <c r="H299" i="1"/>
  <c r="K299" i="1"/>
  <c r="M299" i="1"/>
  <c r="O299" i="1"/>
  <c r="Q299" i="1"/>
  <c r="AJ299" i="1"/>
  <c r="AL299" i="1"/>
  <c r="AP299" i="1"/>
  <c r="AQ299" i="1"/>
  <c r="AR299" i="1"/>
  <c r="AT299" i="1"/>
  <c r="H300" i="1"/>
  <c r="K300" i="1"/>
  <c r="M300" i="1"/>
  <c r="O300" i="1"/>
  <c r="Q300" i="1"/>
  <c r="AJ300" i="1"/>
  <c r="AL300" i="1"/>
  <c r="AP300" i="1"/>
  <c r="AQ300" i="1"/>
  <c r="AR300" i="1"/>
  <c r="AT300" i="1"/>
  <c r="H301" i="1"/>
  <c r="K301" i="1"/>
  <c r="M301" i="1"/>
  <c r="O301" i="1"/>
  <c r="Q301" i="1"/>
  <c r="AJ301" i="1"/>
  <c r="AL301" i="1"/>
  <c r="AP301" i="1"/>
  <c r="AQ301" i="1"/>
  <c r="AR301" i="1"/>
  <c r="AT301" i="1"/>
  <c r="H302" i="1"/>
  <c r="K302" i="1"/>
  <c r="M302" i="1"/>
  <c r="O302" i="1"/>
  <c r="Q302" i="1"/>
  <c r="AJ302" i="1"/>
  <c r="AL302" i="1"/>
  <c r="AP302" i="1"/>
  <c r="AQ302" i="1"/>
  <c r="AR302" i="1"/>
  <c r="AT302" i="1"/>
  <c r="H303" i="1"/>
  <c r="K303" i="1"/>
  <c r="M303" i="1"/>
  <c r="O303" i="1"/>
  <c r="Q303" i="1"/>
  <c r="AJ303" i="1"/>
  <c r="AL303" i="1"/>
  <c r="AP303" i="1"/>
  <c r="AQ303" i="1"/>
  <c r="AR303" i="1"/>
  <c r="AT303" i="1"/>
  <c r="H304" i="1"/>
  <c r="K304" i="1"/>
  <c r="M304" i="1"/>
  <c r="O304" i="1"/>
  <c r="Q304" i="1"/>
  <c r="AJ304" i="1"/>
  <c r="AL304" i="1"/>
  <c r="AP304" i="1"/>
  <c r="AQ304" i="1"/>
  <c r="AR304" i="1"/>
  <c r="AT304" i="1"/>
  <c r="H305" i="1"/>
  <c r="K305" i="1"/>
  <c r="M305" i="1"/>
  <c r="O305" i="1"/>
  <c r="Q305" i="1"/>
  <c r="AJ305" i="1"/>
  <c r="AL305" i="1"/>
  <c r="AP305" i="1"/>
  <c r="AQ305" i="1"/>
  <c r="AR305" i="1"/>
  <c r="AT305" i="1"/>
  <c r="H306" i="1"/>
  <c r="K306" i="1"/>
  <c r="M306" i="1"/>
  <c r="O306" i="1"/>
  <c r="Q306" i="1"/>
  <c r="AJ306" i="1"/>
  <c r="AL306" i="1"/>
  <c r="AP306" i="1"/>
  <c r="AQ306" i="1"/>
  <c r="AR306" i="1"/>
  <c r="AT306" i="1"/>
  <c r="H287" i="1"/>
  <c r="K287" i="1"/>
  <c r="M287" i="1"/>
  <c r="O287" i="1"/>
  <c r="Q287" i="1"/>
  <c r="AJ287" i="1"/>
  <c r="AL287" i="1"/>
  <c r="AP287" i="1"/>
  <c r="AQ287" i="1"/>
  <c r="AR287" i="1"/>
  <c r="AT287" i="1"/>
  <c r="H288" i="1"/>
  <c r="K288" i="1"/>
  <c r="M288" i="1"/>
  <c r="O288" i="1"/>
  <c r="Q288" i="1"/>
  <c r="AJ288" i="1"/>
  <c r="AL288" i="1"/>
  <c r="AP288" i="1"/>
  <c r="AQ288" i="1"/>
  <c r="AR288" i="1"/>
  <c r="AT288" i="1"/>
  <c r="H289" i="1"/>
  <c r="K289" i="1"/>
  <c r="M289" i="1"/>
  <c r="O289" i="1"/>
  <c r="Q289" i="1"/>
  <c r="AJ289" i="1"/>
  <c r="AL289" i="1"/>
  <c r="AP289" i="1"/>
  <c r="AQ289" i="1"/>
  <c r="AR289" i="1"/>
  <c r="AT289" i="1"/>
  <c r="H290" i="1"/>
  <c r="K290" i="1"/>
  <c r="M290" i="1"/>
  <c r="O290" i="1"/>
  <c r="Q290" i="1"/>
  <c r="AJ290" i="1"/>
  <c r="AL290" i="1"/>
  <c r="AP290" i="1"/>
  <c r="AQ290" i="1"/>
  <c r="AR290" i="1"/>
  <c r="AT290" i="1"/>
  <c r="H291" i="1"/>
  <c r="K291" i="1"/>
  <c r="M291" i="1"/>
  <c r="O291" i="1"/>
  <c r="Q291" i="1"/>
  <c r="AJ291" i="1"/>
  <c r="AL291" i="1"/>
  <c r="AP291" i="1"/>
  <c r="AQ291" i="1"/>
  <c r="AR291" i="1"/>
  <c r="AT291" i="1"/>
  <c r="H292" i="1"/>
  <c r="K292" i="1"/>
  <c r="M292" i="1"/>
  <c r="O292" i="1"/>
  <c r="Q292" i="1"/>
  <c r="AJ292" i="1"/>
  <c r="AL292" i="1"/>
  <c r="AP292" i="1"/>
  <c r="AQ292" i="1"/>
  <c r="AR292" i="1"/>
  <c r="AT292" i="1"/>
  <c r="H293" i="1"/>
  <c r="K293" i="1"/>
  <c r="M293" i="1"/>
  <c r="O293" i="1"/>
  <c r="Q293" i="1"/>
  <c r="AJ293" i="1"/>
  <c r="AL293" i="1"/>
  <c r="AP293" i="1"/>
  <c r="AQ293" i="1"/>
  <c r="AR293" i="1"/>
  <c r="AT293" i="1"/>
  <c r="H294" i="1"/>
  <c r="K294" i="1"/>
  <c r="M294" i="1"/>
  <c r="O294" i="1"/>
  <c r="Q294" i="1"/>
  <c r="AJ294" i="1"/>
  <c r="AL294" i="1"/>
  <c r="AP294" i="1"/>
  <c r="AQ294" i="1"/>
  <c r="AR294" i="1"/>
  <c r="AT294" i="1"/>
  <c r="H295" i="1"/>
  <c r="K295" i="1"/>
  <c r="M295" i="1"/>
  <c r="O295" i="1"/>
  <c r="Q295" i="1"/>
  <c r="AJ295" i="1"/>
  <c r="AL295" i="1"/>
  <c r="AP295" i="1"/>
  <c r="AQ295" i="1"/>
  <c r="AR295" i="1"/>
  <c r="AT295" i="1"/>
  <c r="H296" i="1"/>
  <c r="K296" i="1"/>
  <c r="M296" i="1"/>
  <c r="O296" i="1"/>
  <c r="Q296" i="1"/>
  <c r="AJ296" i="1"/>
  <c r="AL296" i="1"/>
  <c r="AP296" i="1"/>
  <c r="AQ296" i="1"/>
  <c r="AR296" i="1"/>
  <c r="AT296" i="1"/>
  <c r="H277" i="1"/>
  <c r="K277" i="1"/>
  <c r="M277" i="1"/>
  <c r="O277" i="1"/>
  <c r="Q277" i="1"/>
  <c r="AJ277" i="1"/>
  <c r="AL277" i="1"/>
  <c r="AP277" i="1"/>
  <c r="AQ277" i="1"/>
  <c r="AR277" i="1"/>
  <c r="AT277" i="1"/>
  <c r="H278" i="1"/>
  <c r="K278" i="1"/>
  <c r="M278" i="1"/>
  <c r="O278" i="1"/>
  <c r="Q278" i="1"/>
  <c r="AJ278" i="1"/>
  <c r="AL278" i="1"/>
  <c r="AP278" i="1"/>
  <c r="AQ278" i="1"/>
  <c r="AR278" i="1"/>
  <c r="AT278" i="1"/>
  <c r="H279" i="1"/>
  <c r="K279" i="1"/>
  <c r="M279" i="1"/>
  <c r="O279" i="1"/>
  <c r="Q279" i="1"/>
  <c r="AJ279" i="1"/>
  <c r="AL279" i="1"/>
  <c r="AP279" i="1"/>
  <c r="AQ279" i="1"/>
  <c r="AR279" i="1"/>
  <c r="AT279" i="1"/>
  <c r="H280" i="1"/>
  <c r="K280" i="1"/>
  <c r="M280" i="1"/>
  <c r="O280" i="1"/>
  <c r="Q280" i="1"/>
  <c r="AJ280" i="1"/>
  <c r="AL280" i="1"/>
  <c r="AP280" i="1"/>
  <c r="AQ280" i="1"/>
  <c r="AR280" i="1"/>
  <c r="AT280" i="1"/>
  <c r="H281" i="1"/>
  <c r="K281" i="1"/>
  <c r="M281" i="1"/>
  <c r="O281" i="1"/>
  <c r="Q281" i="1"/>
  <c r="AJ281" i="1"/>
  <c r="AL281" i="1"/>
  <c r="AP281" i="1"/>
  <c r="AQ281" i="1"/>
  <c r="AR281" i="1"/>
  <c r="AT281" i="1"/>
  <c r="H282" i="1"/>
  <c r="K282" i="1"/>
  <c r="M282" i="1"/>
  <c r="O282" i="1"/>
  <c r="Q282" i="1"/>
  <c r="AJ282" i="1"/>
  <c r="AL282" i="1"/>
  <c r="AP282" i="1"/>
  <c r="AQ282" i="1"/>
  <c r="AR282" i="1"/>
  <c r="AT282" i="1"/>
  <c r="H283" i="1"/>
  <c r="K283" i="1"/>
  <c r="M283" i="1"/>
  <c r="O283" i="1"/>
  <c r="Q283" i="1"/>
  <c r="AJ283" i="1"/>
  <c r="AL283" i="1"/>
  <c r="AP283" i="1"/>
  <c r="AQ283" i="1"/>
  <c r="AR283" i="1"/>
  <c r="AT283" i="1"/>
  <c r="H284" i="1"/>
  <c r="K284" i="1"/>
  <c r="M284" i="1"/>
  <c r="O284" i="1"/>
  <c r="Q284" i="1"/>
  <c r="AJ284" i="1"/>
  <c r="AL284" i="1"/>
  <c r="AP284" i="1"/>
  <c r="AQ284" i="1"/>
  <c r="AR284" i="1"/>
  <c r="AT284" i="1"/>
  <c r="H285" i="1"/>
  <c r="K285" i="1"/>
  <c r="M285" i="1"/>
  <c r="O285" i="1"/>
  <c r="Q285" i="1"/>
  <c r="AJ285" i="1"/>
  <c r="AL285" i="1"/>
  <c r="AP285" i="1"/>
  <c r="AQ285" i="1"/>
  <c r="AR285" i="1"/>
  <c r="AT285" i="1"/>
  <c r="H286" i="1"/>
  <c r="K286" i="1"/>
  <c r="M286" i="1"/>
  <c r="O286" i="1"/>
  <c r="Q286" i="1"/>
  <c r="AJ286" i="1"/>
  <c r="AL286" i="1"/>
  <c r="AP286" i="1"/>
  <c r="AQ286" i="1"/>
  <c r="AR286" i="1"/>
  <c r="AT286" i="1"/>
  <c r="H267" i="1"/>
  <c r="K267" i="1"/>
  <c r="M267" i="1"/>
  <c r="O267" i="1"/>
  <c r="Q267" i="1"/>
  <c r="AJ267" i="1"/>
  <c r="AL267" i="1"/>
  <c r="AP267" i="1"/>
  <c r="AQ267" i="1"/>
  <c r="AR267" i="1"/>
  <c r="AT267" i="1"/>
  <c r="H268" i="1"/>
  <c r="K268" i="1"/>
  <c r="M268" i="1"/>
  <c r="O268" i="1"/>
  <c r="Q268" i="1"/>
  <c r="AJ268" i="1"/>
  <c r="AL268" i="1"/>
  <c r="AP268" i="1"/>
  <c r="AQ268" i="1"/>
  <c r="AR268" i="1"/>
  <c r="AT268" i="1"/>
  <c r="H269" i="1"/>
  <c r="K269" i="1"/>
  <c r="M269" i="1"/>
  <c r="O269" i="1"/>
  <c r="Q269" i="1"/>
  <c r="AJ269" i="1"/>
  <c r="AL269" i="1"/>
  <c r="AP269" i="1"/>
  <c r="AQ269" i="1"/>
  <c r="AR269" i="1"/>
  <c r="AT269" i="1"/>
  <c r="H270" i="1"/>
  <c r="K270" i="1"/>
  <c r="M270" i="1"/>
  <c r="O270" i="1"/>
  <c r="Q270" i="1"/>
  <c r="AJ270" i="1"/>
  <c r="AL270" i="1"/>
  <c r="AP270" i="1"/>
  <c r="AQ270" i="1"/>
  <c r="AR270" i="1"/>
  <c r="AT270" i="1"/>
  <c r="H271" i="1"/>
  <c r="K271" i="1"/>
  <c r="M271" i="1"/>
  <c r="O271" i="1"/>
  <c r="Q271" i="1"/>
  <c r="AJ271" i="1"/>
  <c r="AL271" i="1"/>
  <c r="AP271" i="1"/>
  <c r="AQ271" i="1"/>
  <c r="AR271" i="1"/>
  <c r="AT271" i="1"/>
  <c r="H272" i="1"/>
  <c r="K272" i="1"/>
  <c r="M272" i="1"/>
  <c r="O272" i="1"/>
  <c r="Q272" i="1"/>
  <c r="AJ272" i="1"/>
  <c r="AL272" i="1"/>
  <c r="AP272" i="1"/>
  <c r="AQ272" i="1"/>
  <c r="AR272" i="1"/>
  <c r="AT272" i="1"/>
  <c r="H273" i="1"/>
  <c r="K273" i="1"/>
  <c r="M273" i="1"/>
  <c r="O273" i="1"/>
  <c r="Q273" i="1"/>
  <c r="AJ273" i="1"/>
  <c r="AL273" i="1"/>
  <c r="AP273" i="1"/>
  <c r="AQ273" i="1"/>
  <c r="AR273" i="1"/>
  <c r="AT273" i="1"/>
  <c r="H274" i="1"/>
  <c r="K274" i="1"/>
  <c r="M274" i="1"/>
  <c r="O274" i="1"/>
  <c r="Q274" i="1"/>
  <c r="AJ274" i="1"/>
  <c r="AL274" i="1"/>
  <c r="AP274" i="1"/>
  <c r="AQ274" i="1"/>
  <c r="AR274" i="1"/>
  <c r="AT274" i="1"/>
  <c r="H275" i="1"/>
  <c r="K275" i="1"/>
  <c r="M275" i="1"/>
  <c r="O275" i="1"/>
  <c r="Q275" i="1"/>
  <c r="AJ275" i="1"/>
  <c r="AL275" i="1"/>
  <c r="AP275" i="1"/>
  <c r="AQ275" i="1"/>
  <c r="AR275" i="1"/>
  <c r="AT275" i="1"/>
  <c r="H276" i="1"/>
  <c r="K276" i="1"/>
  <c r="M276" i="1"/>
  <c r="O276" i="1"/>
  <c r="Q276" i="1"/>
  <c r="AJ276" i="1"/>
  <c r="AL276" i="1"/>
  <c r="AP276" i="1"/>
  <c r="AQ276" i="1"/>
  <c r="AR276" i="1"/>
  <c r="AT276" i="1"/>
  <c r="H257" i="1"/>
  <c r="K257" i="1"/>
  <c r="M257" i="1"/>
  <c r="O257" i="1"/>
  <c r="Q257" i="1"/>
  <c r="AJ257" i="1"/>
  <c r="AL257" i="1"/>
  <c r="AP257" i="1"/>
  <c r="AQ257" i="1"/>
  <c r="AR257" i="1"/>
  <c r="AT257" i="1"/>
  <c r="H258" i="1"/>
  <c r="K258" i="1"/>
  <c r="M258" i="1"/>
  <c r="O258" i="1"/>
  <c r="Q258" i="1"/>
  <c r="AJ258" i="1"/>
  <c r="AL258" i="1"/>
  <c r="AP258" i="1"/>
  <c r="AQ258" i="1"/>
  <c r="AR258" i="1"/>
  <c r="AT258" i="1"/>
  <c r="H259" i="1"/>
  <c r="K259" i="1"/>
  <c r="M259" i="1"/>
  <c r="O259" i="1"/>
  <c r="Q259" i="1"/>
  <c r="AJ259" i="1"/>
  <c r="AL259" i="1"/>
  <c r="AP259" i="1"/>
  <c r="AQ259" i="1"/>
  <c r="AR259" i="1"/>
  <c r="AT259" i="1"/>
  <c r="H260" i="1"/>
  <c r="K260" i="1"/>
  <c r="M260" i="1"/>
  <c r="O260" i="1"/>
  <c r="Q260" i="1"/>
  <c r="AJ260" i="1"/>
  <c r="AL260" i="1"/>
  <c r="AP260" i="1"/>
  <c r="AQ260" i="1"/>
  <c r="AR260" i="1"/>
  <c r="AT260" i="1"/>
  <c r="H261" i="1"/>
  <c r="K261" i="1"/>
  <c r="M261" i="1"/>
  <c r="O261" i="1"/>
  <c r="Q261" i="1"/>
  <c r="AJ261" i="1"/>
  <c r="AL261" i="1"/>
  <c r="AP261" i="1"/>
  <c r="AQ261" i="1"/>
  <c r="AR261" i="1"/>
  <c r="AT261" i="1"/>
  <c r="H262" i="1"/>
  <c r="K262" i="1"/>
  <c r="M262" i="1"/>
  <c r="O262" i="1"/>
  <c r="Q262" i="1"/>
  <c r="AJ262" i="1"/>
  <c r="AL262" i="1"/>
  <c r="AP262" i="1"/>
  <c r="AQ262" i="1"/>
  <c r="AR262" i="1"/>
  <c r="AT262" i="1"/>
  <c r="H263" i="1"/>
  <c r="K263" i="1"/>
  <c r="M263" i="1"/>
  <c r="O263" i="1"/>
  <c r="Q263" i="1"/>
  <c r="AJ263" i="1"/>
  <c r="AL263" i="1"/>
  <c r="AP263" i="1"/>
  <c r="AQ263" i="1"/>
  <c r="AR263" i="1"/>
  <c r="AT263" i="1"/>
  <c r="H264" i="1"/>
  <c r="K264" i="1"/>
  <c r="M264" i="1"/>
  <c r="O264" i="1"/>
  <c r="Q264" i="1"/>
  <c r="AJ264" i="1"/>
  <c r="AL264" i="1"/>
  <c r="AP264" i="1"/>
  <c r="AQ264" i="1"/>
  <c r="AR264" i="1"/>
  <c r="AT264" i="1"/>
  <c r="H265" i="1"/>
  <c r="K265" i="1"/>
  <c r="M265" i="1"/>
  <c r="O265" i="1"/>
  <c r="Q265" i="1"/>
  <c r="AJ265" i="1"/>
  <c r="AL265" i="1"/>
  <c r="AP265" i="1"/>
  <c r="AQ265" i="1"/>
  <c r="AR265" i="1"/>
  <c r="AT265" i="1"/>
  <c r="H266" i="1"/>
  <c r="K266" i="1"/>
  <c r="M266" i="1"/>
  <c r="O266" i="1"/>
  <c r="Q266" i="1"/>
  <c r="AJ266" i="1"/>
  <c r="AL266" i="1"/>
  <c r="AP266" i="1"/>
  <c r="AQ266" i="1"/>
  <c r="AR266" i="1"/>
  <c r="AT266" i="1"/>
  <c r="H247" i="1"/>
  <c r="K247" i="1"/>
  <c r="M247" i="1"/>
  <c r="O247" i="1"/>
  <c r="Q247" i="1"/>
  <c r="AJ247" i="1"/>
  <c r="AL247" i="1"/>
  <c r="AP247" i="1"/>
  <c r="AQ247" i="1"/>
  <c r="AR247" i="1"/>
  <c r="AT247" i="1"/>
  <c r="H248" i="1"/>
  <c r="K248" i="1"/>
  <c r="M248" i="1"/>
  <c r="O248" i="1"/>
  <c r="Q248" i="1"/>
  <c r="AJ248" i="1"/>
  <c r="AL248" i="1"/>
  <c r="AP248" i="1"/>
  <c r="AQ248" i="1"/>
  <c r="AR248" i="1"/>
  <c r="AT248" i="1"/>
  <c r="H249" i="1"/>
  <c r="K249" i="1"/>
  <c r="M249" i="1"/>
  <c r="O249" i="1"/>
  <c r="Q249" i="1"/>
  <c r="AJ249" i="1"/>
  <c r="AL249" i="1"/>
  <c r="AP249" i="1"/>
  <c r="AQ249" i="1"/>
  <c r="AR249" i="1"/>
  <c r="AT249" i="1"/>
  <c r="H250" i="1"/>
  <c r="K250" i="1"/>
  <c r="M250" i="1"/>
  <c r="O250" i="1"/>
  <c r="Q250" i="1"/>
  <c r="AJ250" i="1"/>
  <c r="AL250" i="1"/>
  <c r="AP250" i="1"/>
  <c r="AQ250" i="1"/>
  <c r="AR250" i="1"/>
  <c r="AT250" i="1"/>
  <c r="H251" i="1"/>
  <c r="K251" i="1"/>
  <c r="M251" i="1"/>
  <c r="O251" i="1"/>
  <c r="Q251" i="1"/>
  <c r="AJ251" i="1"/>
  <c r="AL251" i="1"/>
  <c r="AP251" i="1"/>
  <c r="AQ251" i="1"/>
  <c r="AR251" i="1"/>
  <c r="AT251" i="1"/>
  <c r="H252" i="1"/>
  <c r="K252" i="1"/>
  <c r="M252" i="1"/>
  <c r="O252" i="1"/>
  <c r="Q252" i="1"/>
  <c r="AJ252" i="1"/>
  <c r="AL252" i="1"/>
  <c r="AP252" i="1"/>
  <c r="AQ252" i="1"/>
  <c r="AR252" i="1"/>
  <c r="AT252" i="1"/>
  <c r="H253" i="1"/>
  <c r="K253" i="1"/>
  <c r="M253" i="1"/>
  <c r="O253" i="1"/>
  <c r="Q253" i="1"/>
  <c r="AJ253" i="1"/>
  <c r="AL253" i="1"/>
  <c r="AP253" i="1"/>
  <c r="AQ253" i="1"/>
  <c r="AR253" i="1"/>
  <c r="AT253" i="1"/>
  <c r="H254" i="1"/>
  <c r="K254" i="1"/>
  <c r="M254" i="1"/>
  <c r="O254" i="1"/>
  <c r="Q254" i="1"/>
  <c r="AJ254" i="1"/>
  <c r="AL254" i="1"/>
  <c r="AP254" i="1"/>
  <c r="AQ254" i="1"/>
  <c r="AR254" i="1"/>
  <c r="AT254" i="1"/>
  <c r="H255" i="1"/>
  <c r="K255" i="1"/>
  <c r="M255" i="1"/>
  <c r="O255" i="1"/>
  <c r="Q255" i="1"/>
  <c r="AJ255" i="1"/>
  <c r="AL255" i="1"/>
  <c r="AP255" i="1"/>
  <c r="AQ255" i="1"/>
  <c r="AR255" i="1"/>
  <c r="AT255" i="1"/>
  <c r="H256" i="1"/>
  <c r="K256" i="1"/>
  <c r="M256" i="1"/>
  <c r="O256" i="1"/>
  <c r="Q256" i="1"/>
  <c r="AJ256" i="1"/>
  <c r="AL256" i="1"/>
  <c r="AP256" i="1"/>
  <c r="AQ256" i="1"/>
  <c r="AR256" i="1"/>
  <c r="AT256" i="1"/>
  <c r="H237" i="1"/>
  <c r="K237" i="1"/>
  <c r="M237" i="1"/>
  <c r="O237" i="1"/>
  <c r="Q237" i="1"/>
  <c r="AJ237" i="1"/>
  <c r="AL237" i="1"/>
  <c r="AP237" i="1"/>
  <c r="AQ237" i="1"/>
  <c r="AR237" i="1"/>
  <c r="AT237" i="1"/>
  <c r="H238" i="1"/>
  <c r="K238" i="1"/>
  <c r="M238" i="1"/>
  <c r="O238" i="1"/>
  <c r="Q238" i="1"/>
  <c r="AJ238" i="1"/>
  <c r="AL238" i="1"/>
  <c r="AP238" i="1"/>
  <c r="AQ238" i="1"/>
  <c r="AR238" i="1"/>
  <c r="AT238" i="1"/>
  <c r="H239" i="1"/>
  <c r="K239" i="1"/>
  <c r="M239" i="1"/>
  <c r="O239" i="1"/>
  <c r="Q239" i="1"/>
  <c r="AJ239" i="1"/>
  <c r="AL239" i="1"/>
  <c r="AP239" i="1"/>
  <c r="AQ239" i="1"/>
  <c r="AR239" i="1"/>
  <c r="AT239" i="1"/>
  <c r="H240" i="1"/>
  <c r="K240" i="1"/>
  <c r="M240" i="1"/>
  <c r="O240" i="1"/>
  <c r="Q240" i="1"/>
  <c r="AJ240" i="1"/>
  <c r="AL240" i="1"/>
  <c r="AP240" i="1"/>
  <c r="AQ240" i="1"/>
  <c r="AR240" i="1"/>
  <c r="AT240" i="1"/>
  <c r="H241" i="1"/>
  <c r="K241" i="1"/>
  <c r="M241" i="1"/>
  <c r="O241" i="1"/>
  <c r="Q241" i="1"/>
  <c r="AJ241" i="1"/>
  <c r="AL241" i="1"/>
  <c r="AP241" i="1"/>
  <c r="AQ241" i="1"/>
  <c r="AR241" i="1"/>
  <c r="AT241" i="1"/>
  <c r="H242" i="1"/>
  <c r="K242" i="1"/>
  <c r="M242" i="1"/>
  <c r="O242" i="1"/>
  <c r="Q242" i="1"/>
  <c r="AJ242" i="1"/>
  <c r="AL242" i="1"/>
  <c r="AP242" i="1"/>
  <c r="AQ242" i="1"/>
  <c r="AR242" i="1"/>
  <c r="AT242" i="1"/>
  <c r="H243" i="1"/>
  <c r="K243" i="1"/>
  <c r="M243" i="1"/>
  <c r="O243" i="1"/>
  <c r="Q243" i="1"/>
  <c r="AJ243" i="1"/>
  <c r="AL243" i="1"/>
  <c r="AP243" i="1"/>
  <c r="AQ243" i="1"/>
  <c r="AR243" i="1"/>
  <c r="AT243" i="1"/>
  <c r="H244" i="1"/>
  <c r="K244" i="1"/>
  <c r="M244" i="1"/>
  <c r="O244" i="1"/>
  <c r="Q244" i="1"/>
  <c r="AJ244" i="1"/>
  <c r="AL244" i="1"/>
  <c r="AP244" i="1"/>
  <c r="AQ244" i="1"/>
  <c r="AR244" i="1"/>
  <c r="AT244" i="1"/>
  <c r="H245" i="1"/>
  <c r="K245" i="1"/>
  <c r="M245" i="1"/>
  <c r="O245" i="1"/>
  <c r="Q245" i="1"/>
  <c r="AJ245" i="1"/>
  <c r="AL245" i="1"/>
  <c r="AP245" i="1"/>
  <c r="AQ245" i="1"/>
  <c r="AR245" i="1"/>
  <c r="AT245" i="1"/>
  <c r="H246" i="1"/>
  <c r="K246" i="1"/>
  <c r="M246" i="1"/>
  <c r="O246" i="1"/>
  <c r="Q246" i="1"/>
  <c r="AJ246" i="1"/>
  <c r="AL246" i="1"/>
  <c r="AP246" i="1"/>
  <c r="AQ246" i="1"/>
  <c r="AR246" i="1"/>
  <c r="AT246" i="1"/>
  <c r="H227" i="1"/>
  <c r="K227" i="1"/>
  <c r="M227" i="1"/>
  <c r="O227" i="1"/>
  <c r="Q227" i="1"/>
  <c r="AJ227" i="1"/>
  <c r="AL227" i="1"/>
  <c r="AP227" i="1"/>
  <c r="AQ227" i="1"/>
  <c r="AR227" i="1"/>
  <c r="AT227" i="1"/>
  <c r="H228" i="1"/>
  <c r="K228" i="1"/>
  <c r="M228" i="1"/>
  <c r="O228" i="1"/>
  <c r="Q228" i="1"/>
  <c r="AJ228" i="1"/>
  <c r="AL228" i="1"/>
  <c r="AP228" i="1"/>
  <c r="AQ228" i="1"/>
  <c r="AR228" i="1"/>
  <c r="AT228" i="1"/>
  <c r="H229" i="1"/>
  <c r="K229" i="1"/>
  <c r="M229" i="1"/>
  <c r="O229" i="1"/>
  <c r="Q229" i="1"/>
  <c r="AJ229" i="1"/>
  <c r="AL229" i="1"/>
  <c r="AP229" i="1"/>
  <c r="AQ229" i="1"/>
  <c r="AR229" i="1"/>
  <c r="AT229" i="1"/>
  <c r="H230" i="1"/>
  <c r="K230" i="1"/>
  <c r="M230" i="1"/>
  <c r="O230" i="1"/>
  <c r="Q230" i="1"/>
  <c r="AJ230" i="1"/>
  <c r="AL230" i="1"/>
  <c r="AP230" i="1"/>
  <c r="AQ230" i="1"/>
  <c r="AR230" i="1"/>
  <c r="AT230" i="1"/>
  <c r="H231" i="1"/>
  <c r="K231" i="1"/>
  <c r="M231" i="1"/>
  <c r="O231" i="1"/>
  <c r="Q231" i="1"/>
  <c r="AJ231" i="1"/>
  <c r="AL231" i="1"/>
  <c r="AP231" i="1"/>
  <c r="AQ231" i="1"/>
  <c r="AR231" i="1"/>
  <c r="AT231" i="1"/>
  <c r="H232" i="1"/>
  <c r="K232" i="1"/>
  <c r="M232" i="1"/>
  <c r="O232" i="1"/>
  <c r="Q232" i="1"/>
  <c r="AJ232" i="1"/>
  <c r="AL232" i="1"/>
  <c r="AP232" i="1"/>
  <c r="AQ232" i="1"/>
  <c r="AR232" i="1"/>
  <c r="AT232" i="1"/>
  <c r="H233" i="1"/>
  <c r="K233" i="1"/>
  <c r="M233" i="1"/>
  <c r="O233" i="1"/>
  <c r="Q233" i="1"/>
  <c r="AJ233" i="1"/>
  <c r="AL233" i="1"/>
  <c r="AP233" i="1"/>
  <c r="AQ233" i="1"/>
  <c r="AR233" i="1"/>
  <c r="AT233" i="1"/>
  <c r="H234" i="1"/>
  <c r="K234" i="1"/>
  <c r="M234" i="1"/>
  <c r="O234" i="1"/>
  <c r="Q234" i="1"/>
  <c r="AJ234" i="1"/>
  <c r="AL234" i="1"/>
  <c r="AP234" i="1"/>
  <c r="AQ234" i="1"/>
  <c r="AR234" i="1"/>
  <c r="AT234" i="1"/>
  <c r="H235" i="1"/>
  <c r="K235" i="1"/>
  <c r="M235" i="1"/>
  <c r="O235" i="1"/>
  <c r="Q235" i="1"/>
  <c r="AJ235" i="1"/>
  <c r="AL235" i="1"/>
  <c r="AP235" i="1"/>
  <c r="AQ235" i="1"/>
  <c r="AR235" i="1"/>
  <c r="AT235" i="1"/>
  <c r="H236" i="1"/>
  <c r="K236" i="1"/>
  <c r="M236" i="1"/>
  <c r="O236" i="1"/>
  <c r="Q236" i="1"/>
  <c r="AJ236" i="1"/>
  <c r="AL236" i="1"/>
  <c r="AP236" i="1"/>
  <c r="AQ236" i="1"/>
  <c r="AR236" i="1"/>
  <c r="AT236" i="1"/>
  <c r="H217" i="1"/>
  <c r="K217" i="1"/>
  <c r="M217" i="1"/>
  <c r="O217" i="1"/>
  <c r="Q217" i="1"/>
  <c r="AJ217" i="1"/>
  <c r="AL217" i="1"/>
  <c r="AP217" i="1"/>
  <c r="AQ217" i="1"/>
  <c r="AR217" i="1"/>
  <c r="AT217" i="1"/>
  <c r="H218" i="1"/>
  <c r="K218" i="1"/>
  <c r="M218" i="1"/>
  <c r="O218" i="1"/>
  <c r="Q218" i="1"/>
  <c r="AJ218" i="1"/>
  <c r="AL218" i="1"/>
  <c r="AP218" i="1"/>
  <c r="AQ218" i="1"/>
  <c r="AR218" i="1"/>
  <c r="AT218" i="1"/>
  <c r="H219" i="1"/>
  <c r="K219" i="1"/>
  <c r="M219" i="1"/>
  <c r="O219" i="1"/>
  <c r="Q219" i="1"/>
  <c r="AJ219" i="1"/>
  <c r="AL219" i="1"/>
  <c r="AP219" i="1"/>
  <c r="AQ219" i="1"/>
  <c r="AR219" i="1"/>
  <c r="AT219" i="1"/>
  <c r="H220" i="1"/>
  <c r="K220" i="1"/>
  <c r="M220" i="1"/>
  <c r="O220" i="1"/>
  <c r="Q220" i="1"/>
  <c r="AJ220" i="1"/>
  <c r="AL220" i="1"/>
  <c r="AP220" i="1"/>
  <c r="AQ220" i="1"/>
  <c r="AR220" i="1"/>
  <c r="AT220" i="1"/>
  <c r="H221" i="1"/>
  <c r="K221" i="1"/>
  <c r="M221" i="1"/>
  <c r="O221" i="1"/>
  <c r="Q221" i="1"/>
  <c r="AJ221" i="1"/>
  <c r="AL221" i="1"/>
  <c r="AP221" i="1"/>
  <c r="AQ221" i="1"/>
  <c r="AR221" i="1"/>
  <c r="AT221" i="1"/>
  <c r="H222" i="1"/>
  <c r="K222" i="1"/>
  <c r="M222" i="1"/>
  <c r="O222" i="1"/>
  <c r="Q222" i="1"/>
  <c r="AJ222" i="1"/>
  <c r="AL222" i="1"/>
  <c r="AP222" i="1"/>
  <c r="AQ222" i="1"/>
  <c r="AR222" i="1"/>
  <c r="AT222" i="1"/>
  <c r="H223" i="1"/>
  <c r="K223" i="1"/>
  <c r="M223" i="1"/>
  <c r="O223" i="1"/>
  <c r="Q223" i="1"/>
  <c r="AJ223" i="1"/>
  <c r="AL223" i="1"/>
  <c r="AP223" i="1"/>
  <c r="AQ223" i="1"/>
  <c r="AR223" i="1"/>
  <c r="AT223" i="1"/>
  <c r="H224" i="1"/>
  <c r="K224" i="1"/>
  <c r="M224" i="1"/>
  <c r="O224" i="1"/>
  <c r="Q224" i="1"/>
  <c r="AJ224" i="1"/>
  <c r="AL224" i="1"/>
  <c r="AP224" i="1"/>
  <c r="AQ224" i="1"/>
  <c r="AR224" i="1"/>
  <c r="AT224" i="1"/>
  <c r="H225" i="1"/>
  <c r="K225" i="1"/>
  <c r="M225" i="1"/>
  <c r="O225" i="1"/>
  <c r="Q225" i="1"/>
  <c r="AJ225" i="1"/>
  <c r="AL225" i="1"/>
  <c r="AP225" i="1"/>
  <c r="AQ225" i="1"/>
  <c r="AR225" i="1"/>
  <c r="AT225" i="1"/>
  <c r="H226" i="1"/>
  <c r="K226" i="1"/>
  <c r="M226" i="1"/>
  <c r="O226" i="1"/>
  <c r="Q226" i="1"/>
  <c r="AJ226" i="1"/>
  <c r="AL226" i="1"/>
  <c r="AP226" i="1"/>
  <c r="AQ226" i="1"/>
  <c r="AR226" i="1"/>
  <c r="AT226" i="1"/>
  <c r="H207" i="1"/>
  <c r="K207" i="1"/>
  <c r="M207" i="1"/>
  <c r="O207" i="1"/>
  <c r="Q207" i="1"/>
  <c r="AJ207" i="1"/>
  <c r="AL207" i="1"/>
  <c r="AP207" i="1"/>
  <c r="AQ207" i="1"/>
  <c r="AR207" i="1"/>
  <c r="AT207" i="1"/>
  <c r="H208" i="1"/>
  <c r="K208" i="1"/>
  <c r="M208" i="1"/>
  <c r="O208" i="1"/>
  <c r="Q208" i="1"/>
  <c r="AJ208" i="1"/>
  <c r="AL208" i="1"/>
  <c r="AP208" i="1"/>
  <c r="AQ208" i="1"/>
  <c r="AR208" i="1"/>
  <c r="AT208" i="1"/>
  <c r="H209" i="1"/>
  <c r="K209" i="1"/>
  <c r="M209" i="1"/>
  <c r="O209" i="1"/>
  <c r="Q209" i="1"/>
  <c r="AJ209" i="1"/>
  <c r="AL209" i="1"/>
  <c r="AP209" i="1"/>
  <c r="AQ209" i="1"/>
  <c r="AR209" i="1"/>
  <c r="AT209" i="1"/>
  <c r="H210" i="1"/>
  <c r="K210" i="1"/>
  <c r="M210" i="1"/>
  <c r="O210" i="1"/>
  <c r="Q210" i="1"/>
  <c r="AJ210" i="1"/>
  <c r="AL210" i="1"/>
  <c r="AP210" i="1"/>
  <c r="AQ210" i="1"/>
  <c r="AR210" i="1"/>
  <c r="AT210" i="1"/>
  <c r="H211" i="1"/>
  <c r="K211" i="1"/>
  <c r="M211" i="1"/>
  <c r="O211" i="1"/>
  <c r="Q211" i="1"/>
  <c r="AJ211" i="1"/>
  <c r="AL211" i="1"/>
  <c r="AP211" i="1"/>
  <c r="AQ211" i="1"/>
  <c r="AR211" i="1"/>
  <c r="AT211" i="1"/>
  <c r="H212" i="1"/>
  <c r="K212" i="1"/>
  <c r="M212" i="1"/>
  <c r="O212" i="1"/>
  <c r="Q212" i="1"/>
  <c r="AJ212" i="1"/>
  <c r="AL212" i="1"/>
  <c r="AP212" i="1"/>
  <c r="AQ212" i="1"/>
  <c r="AR212" i="1"/>
  <c r="AT212" i="1"/>
  <c r="H213" i="1"/>
  <c r="K213" i="1"/>
  <c r="M213" i="1"/>
  <c r="O213" i="1"/>
  <c r="Q213" i="1"/>
  <c r="AJ213" i="1"/>
  <c r="AL213" i="1"/>
  <c r="AP213" i="1"/>
  <c r="AQ213" i="1"/>
  <c r="AR213" i="1"/>
  <c r="AT213" i="1"/>
  <c r="H214" i="1"/>
  <c r="K214" i="1"/>
  <c r="M214" i="1"/>
  <c r="O214" i="1"/>
  <c r="Q214" i="1"/>
  <c r="AJ214" i="1"/>
  <c r="AL214" i="1"/>
  <c r="AP214" i="1"/>
  <c r="AQ214" i="1"/>
  <c r="AR214" i="1"/>
  <c r="AT214" i="1"/>
  <c r="H215" i="1"/>
  <c r="K215" i="1"/>
  <c r="M215" i="1"/>
  <c r="O215" i="1"/>
  <c r="Q215" i="1"/>
  <c r="AJ215" i="1"/>
  <c r="AL215" i="1"/>
  <c r="AP215" i="1"/>
  <c r="AQ215" i="1"/>
  <c r="AR215" i="1"/>
  <c r="AT215" i="1"/>
  <c r="H216" i="1"/>
  <c r="K216" i="1"/>
  <c r="M216" i="1"/>
  <c r="O216" i="1"/>
  <c r="Q216" i="1"/>
  <c r="AJ216" i="1"/>
  <c r="AL216" i="1"/>
  <c r="AP216" i="1"/>
  <c r="AQ216" i="1"/>
  <c r="AR216" i="1"/>
  <c r="AT216" i="1"/>
  <c r="H197" i="1"/>
  <c r="K197" i="1"/>
  <c r="M197" i="1"/>
  <c r="O197" i="1"/>
  <c r="Q197" i="1"/>
  <c r="AJ197" i="1"/>
  <c r="AL197" i="1"/>
  <c r="AP197" i="1"/>
  <c r="AQ197" i="1"/>
  <c r="AR197" i="1"/>
  <c r="AT197" i="1"/>
  <c r="H198" i="1"/>
  <c r="K198" i="1"/>
  <c r="M198" i="1"/>
  <c r="O198" i="1"/>
  <c r="Q198" i="1"/>
  <c r="AJ198" i="1"/>
  <c r="AL198" i="1"/>
  <c r="AP198" i="1"/>
  <c r="AQ198" i="1"/>
  <c r="AR198" i="1"/>
  <c r="AT198" i="1"/>
  <c r="H199" i="1"/>
  <c r="K199" i="1"/>
  <c r="M199" i="1"/>
  <c r="O199" i="1"/>
  <c r="Q199" i="1"/>
  <c r="AJ199" i="1"/>
  <c r="AL199" i="1"/>
  <c r="AP199" i="1"/>
  <c r="AQ199" i="1"/>
  <c r="AR199" i="1"/>
  <c r="AT199" i="1"/>
  <c r="H200" i="1"/>
  <c r="K200" i="1"/>
  <c r="M200" i="1"/>
  <c r="O200" i="1"/>
  <c r="Q200" i="1"/>
  <c r="AJ200" i="1"/>
  <c r="AL200" i="1"/>
  <c r="AP200" i="1"/>
  <c r="AQ200" i="1"/>
  <c r="AR200" i="1"/>
  <c r="AT200" i="1"/>
  <c r="H201" i="1"/>
  <c r="K201" i="1"/>
  <c r="M201" i="1"/>
  <c r="O201" i="1"/>
  <c r="Q201" i="1"/>
  <c r="AJ201" i="1"/>
  <c r="AL201" i="1"/>
  <c r="AP201" i="1"/>
  <c r="AQ201" i="1"/>
  <c r="AR201" i="1"/>
  <c r="AT201" i="1"/>
  <c r="H202" i="1"/>
  <c r="K202" i="1"/>
  <c r="M202" i="1"/>
  <c r="O202" i="1"/>
  <c r="Q202" i="1"/>
  <c r="AJ202" i="1"/>
  <c r="AL202" i="1"/>
  <c r="AP202" i="1"/>
  <c r="AQ202" i="1"/>
  <c r="AR202" i="1"/>
  <c r="AT202" i="1"/>
  <c r="H203" i="1"/>
  <c r="K203" i="1"/>
  <c r="M203" i="1"/>
  <c r="O203" i="1"/>
  <c r="Q203" i="1"/>
  <c r="AJ203" i="1"/>
  <c r="AL203" i="1"/>
  <c r="AP203" i="1"/>
  <c r="AQ203" i="1"/>
  <c r="AR203" i="1"/>
  <c r="AT203" i="1"/>
  <c r="H204" i="1"/>
  <c r="K204" i="1"/>
  <c r="M204" i="1"/>
  <c r="O204" i="1"/>
  <c r="Q204" i="1"/>
  <c r="AJ204" i="1"/>
  <c r="AL204" i="1"/>
  <c r="AP204" i="1"/>
  <c r="AQ204" i="1"/>
  <c r="AR204" i="1"/>
  <c r="AT204" i="1"/>
  <c r="H205" i="1"/>
  <c r="K205" i="1"/>
  <c r="M205" i="1"/>
  <c r="O205" i="1"/>
  <c r="Q205" i="1"/>
  <c r="AJ205" i="1"/>
  <c r="AL205" i="1"/>
  <c r="AP205" i="1"/>
  <c r="AQ205" i="1"/>
  <c r="AR205" i="1"/>
  <c r="AT205" i="1"/>
  <c r="H206" i="1"/>
  <c r="K206" i="1"/>
  <c r="M206" i="1"/>
  <c r="O206" i="1"/>
  <c r="Q206" i="1"/>
  <c r="AJ206" i="1"/>
  <c r="AL206" i="1"/>
  <c r="AP206" i="1"/>
  <c r="AQ206" i="1"/>
  <c r="AR206" i="1"/>
  <c r="AT206" i="1"/>
  <c r="H187" i="1"/>
  <c r="K187" i="1"/>
  <c r="M187" i="1"/>
  <c r="O187" i="1"/>
  <c r="Q187" i="1"/>
  <c r="AJ187" i="1"/>
  <c r="AL187" i="1"/>
  <c r="AP187" i="1"/>
  <c r="AQ187" i="1"/>
  <c r="AR187" i="1"/>
  <c r="AT187" i="1"/>
  <c r="H188" i="1"/>
  <c r="K188" i="1"/>
  <c r="M188" i="1"/>
  <c r="O188" i="1"/>
  <c r="Q188" i="1"/>
  <c r="AJ188" i="1"/>
  <c r="AL188" i="1"/>
  <c r="AP188" i="1"/>
  <c r="AQ188" i="1"/>
  <c r="AR188" i="1"/>
  <c r="AT188" i="1"/>
  <c r="H189" i="1"/>
  <c r="K189" i="1"/>
  <c r="M189" i="1"/>
  <c r="O189" i="1"/>
  <c r="Q189" i="1"/>
  <c r="AJ189" i="1"/>
  <c r="AL189" i="1"/>
  <c r="AP189" i="1"/>
  <c r="AQ189" i="1"/>
  <c r="AR189" i="1"/>
  <c r="AT189" i="1"/>
  <c r="H190" i="1"/>
  <c r="K190" i="1"/>
  <c r="M190" i="1"/>
  <c r="O190" i="1"/>
  <c r="Q190" i="1"/>
  <c r="AJ190" i="1"/>
  <c r="AL190" i="1"/>
  <c r="AP190" i="1"/>
  <c r="AQ190" i="1"/>
  <c r="AR190" i="1"/>
  <c r="AT190" i="1"/>
  <c r="H191" i="1"/>
  <c r="K191" i="1"/>
  <c r="M191" i="1"/>
  <c r="O191" i="1"/>
  <c r="Q191" i="1"/>
  <c r="AJ191" i="1"/>
  <c r="AL191" i="1"/>
  <c r="AP191" i="1"/>
  <c r="AQ191" i="1"/>
  <c r="AR191" i="1"/>
  <c r="AT191" i="1"/>
  <c r="H192" i="1"/>
  <c r="K192" i="1"/>
  <c r="M192" i="1"/>
  <c r="O192" i="1"/>
  <c r="Q192" i="1"/>
  <c r="AJ192" i="1"/>
  <c r="AL192" i="1"/>
  <c r="AP192" i="1"/>
  <c r="AQ192" i="1"/>
  <c r="AR192" i="1"/>
  <c r="AT192" i="1"/>
  <c r="H193" i="1"/>
  <c r="K193" i="1"/>
  <c r="M193" i="1"/>
  <c r="O193" i="1"/>
  <c r="Q193" i="1"/>
  <c r="AJ193" i="1"/>
  <c r="AL193" i="1"/>
  <c r="AP193" i="1"/>
  <c r="AQ193" i="1"/>
  <c r="AR193" i="1"/>
  <c r="AT193" i="1"/>
  <c r="H194" i="1"/>
  <c r="K194" i="1"/>
  <c r="M194" i="1"/>
  <c r="O194" i="1"/>
  <c r="Q194" i="1"/>
  <c r="AJ194" i="1"/>
  <c r="AL194" i="1"/>
  <c r="AP194" i="1"/>
  <c r="AQ194" i="1"/>
  <c r="AR194" i="1"/>
  <c r="AT194" i="1"/>
  <c r="H195" i="1"/>
  <c r="K195" i="1"/>
  <c r="M195" i="1"/>
  <c r="O195" i="1"/>
  <c r="Q195" i="1"/>
  <c r="AJ195" i="1"/>
  <c r="AL195" i="1"/>
  <c r="AP195" i="1"/>
  <c r="AQ195" i="1"/>
  <c r="AR195" i="1"/>
  <c r="AT195" i="1"/>
  <c r="H196" i="1"/>
  <c r="K196" i="1"/>
  <c r="M196" i="1"/>
  <c r="O196" i="1"/>
  <c r="Q196" i="1"/>
  <c r="AJ196" i="1"/>
  <c r="AL196" i="1"/>
  <c r="AP196" i="1"/>
  <c r="AQ196" i="1"/>
  <c r="AR196" i="1"/>
  <c r="AT196" i="1"/>
  <c r="H177" i="1"/>
  <c r="K177" i="1"/>
  <c r="M177" i="1"/>
  <c r="O177" i="1"/>
  <c r="Q177" i="1"/>
  <c r="AJ177" i="1"/>
  <c r="AL177" i="1"/>
  <c r="AP177" i="1"/>
  <c r="AQ177" i="1"/>
  <c r="AR177" i="1"/>
  <c r="AT177" i="1"/>
  <c r="H178" i="1"/>
  <c r="K178" i="1"/>
  <c r="M178" i="1"/>
  <c r="O178" i="1"/>
  <c r="Q178" i="1"/>
  <c r="AJ178" i="1"/>
  <c r="AL178" i="1"/>
  <c r="AP178" i="1"/>
  <c r="AQ178" i="1"/>
  <c r="AR178" i="1"/>
  <c r="AT178" i="1"/>
  <c r="H179" i="1"/>
  <c r="K179" i="1"/>
  <c r="M179" i="1"/>
  <c r="O179" i="1"/>
  <c r="Q179" i="1"/>
  <c r="AJ179" i="1"/>
  <c r="AL179" i="1"/>
  <c r="AP179" i="1"/>
  <c r="AQ179" i="1"/>
  <c r="AR179" i="1"/>
  <c r="AT179" i="1"/>
  <c r="H180" i="1"/>
  <c r="K180" i="1"/>
  <c r="M180" i="1"/>
  <c r="O180" i="1"/>
  <c r="Q180" i="1"/>
  <c r="AJ180" i="1"/>
  <c r="AL180" i="1"/>
  <c r="AP180" i="1"/>
  <c r="AQ180" i="1"/>
  <c r="AR180" i="1"/>
  <c r="AT180" i="1"/>
  <c r="H181" i="1"/>
  <c r="K181" i="1"/>
  <c r="M181" i="1"/>
  <c r="O181" i="1"/>
  <c r="Q181" i="1"/>
  <c r="AJ181" i="1"/>
  <c r="AL181" i="1"/>
  <c r="AP181" i="1"/>
  <c r="AQ181" i="1"/>
  <c r="AR181" i="1"/>
  <c r="AT181" i="1"/>
  <c r="H182" i="1"/>
  <c r="K182" i="1"/>
  <c r="M182" i="1"/>
  <c r="O182" i="1"/>
  <c r="Q182" i="1"/>
  <c r="AJ182" i="1"/>
  <c r="AL182" i="1"/>
  <c r="AP182" i="1"/>
  <c r="AQ182" i="1"/>
  <c r="AR182" i="1"/>
  <c r="AT182" i="1"/>
  <c r="H183" i="1"/>
  <c r="K183" i="1"/>
  <c r="M183" i="1"/>
  <c r="O183" i="1"/>
  <c r="Q183" i="1"/>
  <c r="AJ183" i="1"/>
  <c r="AL183" i="1"/>
  <c r="AP183" i="1"/>
  <c r="AQ183" i="1"/>
  <c r="AR183" i="1"/>
  <c r="AT183" i="1"/>
  <c r="H184" i="1"/>
  <c r="K184" i="1"/>
  <c r="M184" i="1"/>
  <c r="O184" i="1"/>
  <c r="Q184" i="1"/>
  <c r="AJ184" i="1"/>
  <c r="AL184" i="1"/>
  <c r="AP184" i="1"/>
  <c r="AQ184" i="1"/>
  <c r="AR184" i="1"/>
  <c r="AT184" i="1"/>
  <c r="H185" i="1"/>
  <c r="K185" i="1"/>
  <c r="M185" i="1"/>
  <c r="O185" i="1"/>
  <c r="Q185" i="1"/>
  <c r="AJ185" i="1"/>
  <c r="AL185" i="1"/>
  <c r="AP185" i="1"/>
  <c r="AQ185" i="1"/>
  <c r="AR185" i="1"/>
  <c r="AT185" i="1"/>
  <c r="H186" i="1"/>
  <c r="K186" i="1"/>
  <c r="M186" i="1"/>
  <c r="O186" i="1"/>
  <c r="Q186" i="1"/>
  <c r="AJ186" i="1"/>
  <c r="AL186" i="1"/>
  <c r="AP186" i="1"/>
  <c r="AQ186" i="1"/>
  <c r="AR186" i="1"/>
  <c r="AT186" i="1"/>
  <c r="H167" i="1"/>
  <c r="K167" i="1"/>
  <c r="M167" i="1"/>
  <c r="O167" i="1"/>
  <c r="Q167" i="1"/>
  <c r="AJ167" i="1"/>
  <c r="AL167" i="1"/>
  <c r="AP167" i="1"/>
  <c r="AQ167" i="1"/>
  <c r="AR167" i="1"/>
  <c r="AT167" i="1"/>
  <c r="H168" i="1"/>
  <c r="K168" i="1"/>
  <c r="M168" i="1"/>
  <c r="O168" i="1"/>
  <c r="Q168" i="1"/>
  <c r="AJ168" i="1"/>
  <c r="AL168" i="1"/>
  <c r="AP168" i="1"/>
  <c r="AQ168" i="1"/>
  <c r="AR168" i="1"/>
  <c r="AT168" i="1"/>
  <c r="H169" i="1"/>
  <c r="K169" i="1"/>
  <c r="M169" i="1"/>
  <c r="O169" i="1"/>
  <c r="Q169" i="1"/>
  <c r="AJ169" i="1"/>
  <c r="AL169" i="1"/>
  <c r="AP169" i="1"/>
  <c r="AQ169" i="1"/>
  <c r="AR169" i="1"/>
  <c r="AT169" i="1"/>
  <c r="H170" i="1"/>
  <c r="K170" i="1"/>
  <c r="M170" i="1"/>
  <c r="O170" i="1"/>
  <c r="Q170" i="1"/>
  <c r="AJ170" i="1"/>
  <c r="AL170" i="1"/>
  <c r="AP170" i="1"/>
  <c r="AQ170" i="1"/>
  <c r="AR170" i="1"/>
  <c r="AT170" i="1"/>
  <c r="H171" i="1"/>
  <c r="K171" i="1"/>
  <c r="M171" i="1"/>
  <c r="O171" i="1"/>
  <c r="Q171" i="1"/>
  <c r="AJ171" i="1"/>
  <c r="AL171" i="1"/>
  <c r="AP171" i="1"/>
  <c r="AQ171" i="1"/>
  <c r="AR171" i="1"/>
  <c r="AT171" i="1"/>
  <c r="H172" i="1"/>
  <c r="K172" i="1"/>
  <c r="M172" i="1"/>
  <c r="O172" i="1"/>
  <c r="Q172" i="1"/>
  <c r="AJ172" i="1"/>
  <c r="AL172" i="1"/>
  <c r="AP172" i="1"/>
  <c r="AQ172" i="1"/>
  <c r="AR172" i="1"/>
  <c r="AT172" i="1"/>
  <c r="H173" i="1"/>
  <c r="K173" i="1"/>
  <c r="M173" i="1"/>
  <c r="O173" i="1"/>
  <c r="Q173" i="1"/>
  <c r="AJ173" i="1"/>
  <c r="AL173" i="1"/>
  <c r="AP173" i="1"/>
  <c r="AQ173" i="1"/>
  <c r="AR173" i="1"/>
  <c r="AT173" i="1"/>
  <c r="H174" i="1"/>
  <c r="K174" i="1"/>
  <c r="M174" i="1"/>
  <c r="O174" i="1"/>
  <c r="Q174" i="1"/>
  <c r="AJ174" i="1"/>
  <c r="AL174" i="1"/>
  <c r="AP174" i="1"/>
  <c r="AQ174" i="1"/>
  <c r="AR174" i="1"/>
  <c r="AT174" i="1"/>
  <c r="H175" i="1"/>
  <c r="K175" i="1"/>
  <c r="M175" i="1"/>
  <c r="O175" i="1"/>
  <c r="Q175" i="1"/>
  <c r="AJ175" i="1"/>
  <c r="AL175" i="1"/>
  <c r="AP175" i="1"/>
  <c r="AQ175" i="1"/>
  <c r="AR175" i="1"/>
  <c r="AT175" i="1"/>
  <c r="H176" i="1"/>
  <c r="K176" i="1"/>
  <c r="M176" i="1"/>
  <c r="O176" i="1"/>
  <c r="Q176" i="1"/>
  <c r="AJ176" i="1"/>
  <c r="AL176" i="1"/>
  <c r="AP176" i="1"/>
  <c r="AQ176" i="1"/>
  <c r="AR176" i="1"/>
  <c r="AT176" i="1"/>
  <c r="H157" i="1"/>
  <c r="K157" i="1"/>
  <c r="M157" i="1"/>
  <c r="O157" i="1"/>
  <c r="Q157" i="1"/>
  <c r="AJ157" i="1"/>
  <c r="AL157" i="1"/>
  <c r="AP157" i="1"/>
  <c r="AQ157" i="1"/>
  <c r="AR157" i="1"/>
  <c r="AT157" i="1"/>
  <c r="H158" i="1"/>
  <c r="K158" i="1"/>
  <c r="M158" i="1"/>
  <c r="O158" i="1"/>
  <c r="Q158" i="1"/>
  <c r="AJ158" i="1"/>
  <c r="AL158" i="1"/>
  <c r="AP158" i="1"/>
  <c r="AQ158" i="1"/>
  <c r="AR158" i="1"/>
  <c r="AT158" i="1"/>
  <c r="H159" i="1"/>
  <c r="K159" i="1"/>
  <c r="M159" i="1"/>
  <c r="O159" i="1"/>
  <c r="Q159" i="1"/>
  <c r="AJ159" i="1"/>
  <c r="AL159" i="1"/>
  <c r="AP159" i="1"/>
  <c r="AQ159" i="1"/>
  <c r="AR159" i="1"/>
  <c r="AT159" i="1"/>
  <c r="H160" i="1"/>
  <c r="K160" i="1"/>
  <c r="M160" i="1"/>
  <c r="O160" i="1"/>
  <c r="Q160" i="1"/>
  <c r="AJ160" i="1"/>
  <c r="AL160" i="1"/>
  <c r="AP160" i="1"/>
  <c r="AQ160" i="1"/>
  <c r="AR160" i="1"/>
  <c r="AT160" i="1"/>
  <c r="H161" i="1"/>
  <c r="K161" i="1"/>
  <c r="M161" i="1"/>
  <c r="O161" i="1"/>
  <c r="Q161" i="1"/>
  <c r="AJ161" i="1"/>
  <c r="AL161" i="1"/>
  <c r="AP161" i="1"/>
  <c r="AQ161" i="1"/>
  <c r="AR161" i="1"/>
  <c r="AT161" i="1"/>
  <c r="H162" i="1"/>
  <c r="K162" i="1"/>
  <c r="M162" i="1"/>
  <c r="O162" i="1"/>
  <c r="Q162" i="1"/>
  <c r="AJ162" i="1"/>
  <c r="AL162" i="1"/>
  <c r="AP162" i="1"/>
  <c r="AQ162" i="1"/>
  <c r="AR162" i="1"/>
  <c r="AT162" i="1"/>
  <c r="H163" i="1"/>
  <c r="K163" i="1"/>
  <c r="M163" i="1"/>
  <c r="O163" i="1"/>
  <c r="Q163" i="1"/>
  <c r="AJ163" i="1"/>
  <c r="AL163" i="1"/>
  <c r="AP163" i="1"/>
  <c r="AQ163" i="1"/>
  <c r="AR163" i="1"/>
  <c r="AT163" i="1"/>
  <c r="H164" i="1"/>
  <c r="K164" i="1"/>
  <c r="M164" i="1"/>
  <c r="O164" i="1"/>
  <c r="Q164" i="1"/>
  <c r="AJ164" i="1"/>
  <c r="AL164" i="1"/>
  <c r="AP164" i="1"/>
  <c r="AQ164" i="1"/>
  <c r="AR164" i="1"/>
  <c r="AT164" i="1"/>
  <c r="H165" i="1"/>
  <c r="K165" i="1"/>
  <c r="M165" i="1"/>
  <c r="O165" i="1"/>
  <c r="Q165" i="1"/>
  <c r="AJ165" i="1"/>
  <c r="AL165" i="1"/>
  <c r="AP165" i="1"/>
  <c r="AQ165" i="1"/>
  <c r="AR165" i="1"/>
  <c r="AT165" i="1"/>
  <c r="H166" i="1"/>
  <c r="K166" i="1"/>
  <c r="M166" i="1"/>
  <c r="O166" i="1"/>
  <c r="Q166" i="1"/>
  <c r="AJ166" i="1"/>
  <c r="AL166" i="1"/>
  <c r="AP166" i="1"/>
  <c r="AQ166" i="1"/>
  <c r="AR166" i="1"/>
  <c r="AT166" i="1"/>
  <c r="H147" i="1"/>
  <c r="K147" i="1"/>
  <c r="M147" i="1"/>
  <c r="O147" i="1"/>
  <c r="Q147" i="1"/>
  <c r="AJ147" i="1"/>
  <c r="AL147" i="1"/>
  <c r="AP147" i="1"/>
  <c r="AQ147" i="1"/>
  <c r="AR147" i="1"/>
  <c r="AT147" i="1"/>
  <c r="H148" i="1"/>
  <c r="K148" i="1"/>
  <c r="M148" i="1"/>
  <c r="O148" i="1"/>
  <c r="Q148" i="1"/>
  <c r="AJ148" i="1"/>
  <c r="AL148" i="1"/>
  <c r="AP148" i="1"/>
  <c r="AQ148" i="1"/>
  <c r="AR148" i="1"/>
  <c r="AT148" i="1"/>
  <c r="H149" i="1"/>
  <c r="K149" i="1"/>
  <c r="M149" i="1"/>
  <c r="O149" i="1"/>
  <c r="Q149" i="1"/>
  <c r="AJ149" i="1"/>
  <c r="AL149" i="1"/>
  <c r="AP149" i="1"/>
  <c r="AQ149" i="1"/>
  <c r="AR149" i="1"/>
  <c r="AT149" i="1"/>
  <c r="H150" i="1"/>
  <c r="K150" i="1"/>
  <c r="M150" i="1"/>
  <c r="O150" i="1"/>
  <c r="Q150" i="1"/>
  <c r="AJ150" i="1"/>
  <c r="AL150" i="1"/>
  <c r="AP150" i="1"/>
  <c r="AQ150" i="1"/>
  <c r="AR150" i="1"/>
  <c r="AT150" i="1"/>
  <c r="H151" i="1"/>
  <c r="K151" i="1"/>
  <c r="M151" i="1"/>
  <c r="O151" i="1"/>
  <c r="Q151" i="1"/>
  <c r="AJ151" i="1"/>
  <c r="AL151" i="1"/>
  <c r="AP151" i="1"/>
  <c r="AQ151" i="1"/>
  <c r="AR151" i="1"/>
  <c r="AT151" i="1"/>
  <c r="H152" i="1"/>
  <c r="K152" i="1"/>
  <c r="M152" i="1"/>
  <c r="O152" i="1"/>
  <c r="Q152" i="1"/>
  <c r="AJ152" i="1"/>
  <c r="AL152" i="1"/>
  <c r="AP152" i="1"/>
  <c r="AQ152" i="1"/>
  <c r="AR152" i="1"/>
  <c r="AT152" i="1"/>
  <c r="H153" i="1"/>
  <c r="K153" i="1"/>
  <c r="M153" i="1"/>
  <c r="O153" i="1"/>
  <c r="Q153" i="1"/>
  <c r="AJ153" i="1"/>
  <c r="AL153" i="1"/>
  <c r="AP153" i="1"/>
  <c r="AQ153" i="1"/>
  <c r="AR153" i="1"/>
  <c r="AT153" i="1"/>
  <c r="H154" i="1"/>
  <c r="K154" i="1"/>
  <c r="M154" i="1"/>
  <c r="O154" i="1"/>
  <c r="Q154" i="1"/>
  <c r="AJ154" i="1"/>
  <c r="AL154" i="1"/>
  <c r="AP154" i="1"/>
  <c r="AQ154" i="1"/>
  <c r="AR154" i="1"/>
  <c r="AT154" i="1"/>
  <c r="H155" i="1"/>
  <c r="K155" i="1"/>
  <c r="M155" i="1"/>
  <c r="O155" i="1"/>
  <c r="Q155" i="1"/>
  <c r="AJ155" i="1"/>
  <c r="AL155" i="1"/>
  <c r="AP155" i="1"/>
  <c r="AQ155" i="1"/>
  <c r="AR155" i="1"/>
  <c r="AT155" i="1"/>
  <c r="H156" i="1"/>
  <c r="K156" i="1"/>
  <c r="M156" i="1"/>
  <c r="O156" i="1"/>
  <c r="Q156" i="1"/>
  <c r="AJ156" i="1"/>
  <c r="AL156" i="1"/>
  <c r="AP156" i="1"/>
  <c r="AQ156" i="1"/>
  <c r="AR156" i="1"/>
  <c r="AT156" i="1"/>
  <c r="H137" i="1"/>
  <c r="K137" i="1"/>
  <c r="M137" i="1"/>
  <c r="O137" i="1"/>
  <c r="Q137" i="1"/>
  <c r="AJ137" i="1"/>
  <c r="AL137" i="1"/>
  <c r="AP137" i="1"/>
  <c r="AQ137" i="1"/>
  <c r="AR137" i="1"/>
  <c r="AT137" i="1"/>
  <c r="H138" i="1"/>
  <c r="K138" i="1"/>
  <c r="M138" i="1"/>
  <c r="O138" i="1"/>
  <c r="Q138" i="1"/>
  <c r="AJ138" i="1"/>
  <c r="AL138" i="1"/>
  <c r="AP138" i="1"/>
  <c r="AQ138" i="1"/>
  <c r="AR138" i="1"/>
  <c r="AT138" i="1"/>
  <c r="H139" i="1"/>
  <c r="K139" i="1"/>
  <c r="M139" i="1"/>
  <c r="O139" i="1"/>
  <c r="Q139" i="1"/>
  <c r="AJ139" i="1"/>
  <c r="AL139" i="1"/>
  <c r="AP139" i="1"/>
  <c r="AQ139" i="1"/>
  <c r="AR139" i="1"/>
  <c r="AT139" i="1"/>
  <c r="H140" i="1"/>
  <c r="K140" i="1"/>
  <c r="M140" i="1"/>
  <c r="O140" i="1"/>
  <c r="Q140" i="1"/>
  <c r="AJ140" i="1"/>
  <c r="AL140" i="1"/>
  <c r="AP140" i="1"/>
  <c r="AQ140" i="1"/>
  <c r="AR140" i="1"/>
  <c r="AT140" i="1"/>
  <c r="H141" i="1"/>
  <c r="K141" i="1"/>
  <c r="M141" i="1"/>
  <c r="O141" i="1"/>
  <c r="Q141" i="1"/>
  <c r="AJ141" i="1"/>
  <c r="AL141" i="1"/>
  <c r="AP141" i="1"/>
  <c r="AQ141" i="1"/>
  <c r="AR141" i="1"/>
  <c r="AT141" i="1"/>
  <c r="H142" i="1"/>
  <c r="K142" i="1"/>
  <c r="M142" i="1"/>
  <c r="O142" i="1"/>
  <c r="Q142" i="1"/>
  <c r="AJ142" i="1"/>
  <c r="AL142" i="1"/>
  <c r="AP142" i="1"/>
  <c r="AQ142" i="1"/>
  <c r="AR142" i="1"/>
  <c r="AT142" i="1"/>
  <c r="H143" i="1"/>
  <c r="K143" i="1"/>
  <c r="M143" i="1"/>
  <c r="O143" i="1"/>
  <c r="Q143" i="1"/>
  <c r="AJ143" i="1"/>
  <c r="AL143" i="1"/>
  <c r="AP143" i="1"/>
  <c r="AQ143" i="1"/>
  <c r="AR143" i="1"/>
  <c r="AT143" i="1"/>
  <c r="H144" i="1"/>
  <c r="K144" i="1"/>
  <c r="M144" i="1"/>
  <c r="O144" i="1"/>
  <c r="Q144" i="1"/>
  <c r="AJ144" i="1"/>
  <c r="AL144" i="1"/>
  <c r="AP144" i="1"/>
  <c r="AQ144" i="1"/>
  <c r="AR144" i="1"/>
  <c r="AT144" i="1"/>
  <c r="H145" i="1"/>
  <c r="K145" i="1"/>
  <c r="M145" i="1"/>
  <c r="O145" i="1"/>
  <c r="Q145" i="1"/>
  <c r="AJ145" i="1"/>
  <c r="AL145" i="1"/>
  <c r="AP145" i="1"/>
  <c r="AQ145" i="1"/>
  <c r="AR145" i="1"/>
  <c r="AT145" i="1"/>
  <c r="H146" i="1"/>
  <c r="K146" i="1"/>
  <c r="M146" i="1"/>
  <c r="O146" i="1"/>
  <c r="Q146" i="1"/>
  <c r="AJ146" i="1"/>
  <c r="AL146" i="1"/>
  <c r="AP146" i="1"/>
  <c r="AQ146" i="1"/>
  <c r="AR146" i="1"/>
  <c r="AT146" i="1"/>
  <c r="H127" i="1"/>
  <c r="K127" i="1"/>
  <c r="M127" i="1"/>
  <c r="O127" i="1"/>
  <c r="Q127" i="1"/>
  <c r="AJ127" i="1"/>
  <c r="AL127" i="1"/>
  <c r="AP127" i="1"/>
  <c r="AQ127" i="1"/>
  <c r="AR127" i="1"/>
  <c r="AT127" i="1"/>
  <c r="H128" i="1"/>
  <c r="K128" i="1"/>
  <c r="M128" i="1"/>
  <c r="O128" i="1"/>
  <c r="Q128" i="1"/>
  <c r="AJ128" i="1"/>
  <c r="AL128" i="1"/>
  <c r="AP128" i="1"/>
  <c r="AQ128" i="1"/>
  <c r="AR128" i="1"/>
  <c r="AT128" i="1"/>
  <c r="H129" i="1"/>
  <c r="K129" i="1"/>
  <c r="M129" i="1"/>
  <c r="O129" i="1"/>
  <c r="Q129" i="1"/>
  <c r="AJ129" i="1"/>
  <c r="AL129" i="1"/>
  <c r="AP129" i="1"/>
  <c r="AQ129" i="1"/>
  <c r="AR129" i="1"/>
  <c r="AT129" i="1"/>
  <c r="H130" i="1"/>
  <c r="K130" i="1"/>
  <c r="M130" i="1"/>
  <c r="O130" i="1"/>
  <c r="Q130" i="1"/>
  <c r="AJ130" i="1"/>
  <c r="AL130" i="1"/>
  <c r="AP130" i="1"/>
  <c r="AQ130" i="1"/>
  <c r="AR130" i="1"/>
  <c r="AT130" i="1"/>
  <c r="H131" i="1"/>
  <c r="K131" i="1"/>
  <c r="M131" i="1"/>
  <c r="O131" i="1"/>
  <c r="Q131" i="1"/>
  <c r="AJ131" i="1"/>
  <c r="AL131" i="1"/>
  <c r="AP131" i="1"/>
  <c r="AQ131" i="1"/>
  <c r="AR131" i="1"/>
  <c r="AT131" i="1"/>
  <c r="H132" i="1"/>
  <c r="K132" i="1"/>
  <c r="M132" i="1"/>
  <c r="O132" i="1"/>
  <c r="Q132" i="1"/>
  <c r="AJ132" i="1"/>
  <c r="AL132" i="1"/>
  <c r="AP132" i="1"/>
  <c r="AQ132" i="1"/>
  <c r="AR132" i="1"/>
  <c r="AT132" i="1"/>
  <c r="H133" i="1"/>
  <c r="K133" i="1"/>
  <c r="M133" i="1"/>
  <c r="O133" i="1"/>
  <c r="Q133" i="1"/>
  <c r="AJ133" i="1"/>
  <c r="AL133" i="1"/>
  <c r="AP133" i="1"/>
  <c r="AQ133" i="1"/>
  <c r="AR133" i="1"/>
  <c r="AT133" i="1"/>
  <c r="H134" i="1"/>
  <c r="K134" i="1"/>
  <c r="M134" i="1"/>
  <c r="O134" i="1"/>
  <c r="Q134" i="1"/>
  <c r="AJ134" i="1"/>
  <c r="AL134" i="1"/>
  <c r="AP134" i="1"/>
  <c r="AQ134" i="1"/>
  <c r="AR134" i="1"/>
  <c r="AT134" i="1"/>
  <c r="H135" i="1"/>
  <c r="K135" i="1"/>
  <c r="M135" i="1"/>
  <c r="O135" i="1"/>
  <c r="Q135" i="1"/>
  <c r="AJ135" i="1"/>
  <c r="AL135" i="1"/>
  <c r="AP135" i="1"/>
  <c r="AQ135" i="1"/>
  <c r="AR135" i="1"/>
  <c r="AT135" i="1"/>
  <c r="H136" i="1"/>
  <c r="K136" i="1"/>
  <c r="M136" i="1"/>
  <c r="O136" i="1"/>
  <c r="Q136" i="1"/>
  <c r="AJ136" i="1"/>
  <c r="AL136" i="1"/>
  <c r="AP136" i="1"/>
  <c r="AQ136" i="1"/>
  <c r="AR136" i="1"/>
  <c r="AT136" i="1"/>
  <c r="H117" i="1"/>
  <c r="K117" i="1"/>
  <c r="M117" i="1"/>
  <c r="O117" i="1"/>
  <c r="Q117" i="1"/>
  <c r="AJ117" i="1"/>
  <c r="AL117" i="1"/>
  <c r="AP117" i="1"/>
  <c r="AQ117" i="1"/>
  <c r="AR117" i="1"/>
  <c r="AT117" i="1"/>
  <c r="H118" i="1"/>
  <c r="K118" i="1"/>
  <c r="M118" i="1"/>
  <c r="O118" i="1"/>
  <c r="Q118" i="1"/>
  <c r="AJ118" i="1"/>
  <c r="AL118" i="1"/>
  <c r="AP118" i="1"/>
  <c r="AQ118" i="1"/>
  <c r="AR118" i="1"/>
  <c r="AT118" i="1"/>
  <c r="H119" i="1"/>
  <c r="K119" i="1"/>
  <c r="M119" i="1"/>
  <c r="O119" i="1"/>
  <c r="Q119" i="1"/>
  <c r="AJ119" i="1"/>
  <c r="AL119" i="1"/>
  <c r="AP119" i="1"/>
  <c r="AQ119" i="1"/>
  <c r="AR119" i="1"/>
  <c r="AT119" i="1"/>
  <c r="H120" i="1"/>
  <c r="K120" i="1"/>
  <c r="M120" i="1"/>
  <c r="O120" i="1"/>
  <c r="Q120" i="1"/>
  <c r="AJ120" i="1"/>
  <c r="AL120" i="1"/>
  <c r="AP120" i="1"/>
  <c r="AQ120" i="1"/>
  <c r="AR120" i="1"/>
  <c r="AT120" i="1"/>
  <c r="H121" i="1"/>
  <c r="K121" i="1"/>
  <c r="M121" i="1"/>
  <c r="O121" i="1"/>
  <c r="Q121" i="1"/>
  <c r="AJ121" i="1"/>
  <c r="AL121" i="1"/>
  <c r="AP121" i="1"/>
  <c r="AQ121" i="1"/>
  <c r="AR121" i="1"/>
  <c r="AT121" i="1"/>
  <c r="H122" i="1"/>
  <c r="K122" i="1"/>
  <c r="M122" i="1"/>
  <c r="O122" i="1"/>
  <c r="Q122" i="1"/>
  <c r="AJ122" i="1"/>
  <c r="AL122" i="1"/>
  <c r="AP122" i="1"/>
  <c r="AQ122" i="1"/>
  <c r="AR122" i="1"/>
  <c r="AT122" i="1"/>
  <c r="H123" i="1"/>
  <c r="K123" i="1"/>
  <c r="M123" i="1"/>
  <c r="O123" i="1"/>
  <c r="Q123" i="1"/>
  <c r="AJ123" i="1"/>
  <c r="AL123" i="1"/>
  <c r="AP123" i="1"/>
  <c r="AQ123" i="1"/>
  <c r="AR123" i="1"/>
  <c r="AT123" i="1"/>
  <c r="H124" i="1"/>
  <c r="K124" i="1"/>
  <c r="M124" i="1"/>
  <c r="O124" i="1"/>
  <c r="Q124" i="1"/>
  <c r="AJ124" i="1"/>
  <c r="AL124" i="1"/>
  <c r="AP124" i="1"/>
  <c r="AQ124" i="1"/>
  <c r="AR124" i="1"/>
  <c r="AT124" i="1"/>
  <c r="H125" i="1"/>
  <c r="K125" i="1"/>
  <c r="M125" i="1"/>
  <c r="O125" i="1"/>
  <c r="Q125" i="1"/>
  <c r="AJ125" i="1"/>
  <c r="AL125" i="1"/>
  <c r="AP125" i="1"/>
  <c r="AQ125" i="1"/>
  <c r="AR125" i="1"/>
  <c r="AT125" i="1"/>
  <c r="H126" i="1"/>
  <c r="K126" i="1"/>
  <c r="M126" i="1"/>
  <c r="O126" i="1"/>
  <c r="Q126" i="1"/>
  <c r="AJ126" i="1"/>
  <c r="AL126" i="1"/>
  <c r="AP126" i="1"/>
  <c r="AQ126" i="1"/>
  <c r="AR126" i="1"/>
  <c r="AT126" i="1"/>
  <c r="H107" i="1"/>
  <c r="K107" i="1"/>
  <c r="M107" i="1"/>
  <c r="O107" i="1"/>
  <c r="Q107" i="1"/>
  <c r="AJ107" i="1"/>
  <c r="AL107" i="1"/>
  <c r="AP107" i="1"/>
  <c r="AQ107" i="1"/>
  <c r="AR107" i="1"/>
  <c r="AT107" i="1"/>
  <c r="H108" i="1"/>
  <c r="K108" i="1"/>
  <c r="M108" i="1"/>
  <c r="O108" i="1"/>
  <c r="Q108" i="1"/>
  <c r="AJ108" i="1"/>
  <c r="AL108" i="1"/>
  <c r="AP108" i="1"/>
  <c r="AQ108" i="1"/>
  <c r="AR108" i="1"/>
  <c r="AT108" i="1"/>
  <c r="H109" i="1"/>
  <c r="K109" i="1"/>
  <c r="M109" i="1"/>
  <c r="O109" i="1"/>
  <c r="Q109" i="1"/>
  <c r="AJ109" i="1"/>
  <c r="AL109" i="1"/>
  <c r="AP109" i="1"/>
  <c r="AQ109" i="1"/>
  <c r="AR109" i="1"/>
  <c r="AT109" i="1"/>
  <c r="H110" i="1"/>
  <c r="K110" i="1"/>
  <c r="M110" i="1"/>
  <c r="O110" i="1"/>
  <c r="Q110" i="1"/>
  <c r="AJ110" i="1"/>
  <c r="AL110" i="1"/>
  <c r="AP110" i="1"/>
  <c r="AQ110" i="1"/>
  <c r="AR110" i="1"/>
  <c r="AT110" i="1"/>
  <c r="H111" i="1"/>
  <c r="K111" i="1"/>
  <c r="M111" i="1"/>
  <c r="O111" i="1"/>
  <c r="Q111" i="1"/>
  <c r="AJ111" i="1"/>
  <c r="AL111" i="1"/>
  <c r="AP111" i="1"/>
  <c r="AQ111" i="1"/>
  <c r="AR111" i="1"/>
  <c r="AT111" i="1"/>
  <c r="H112" i="1"/>
  <c r="K112" i="1"/>
  <c r="M112" i="1"/>
  <c r="O112" i="1"/>
  <c r="Q112" i="1"/>
  <c r="AJ112" i="1"/>
  <c r="AL112" i="1"/>
  <c r="AP112" i="1"/>
  <c r="AQ112" i="1"/>
  <c r="AR112" i="1"/>
  <c r="AT112" i="1"/>
  <c r="H113" i="1"/>
  <c r="K113" i="1"/>
  <c r="M113" i="1"/>
  <c r="O113" i="1"/>
  <c r="Q113" i="1"/>
  <c r="AJ113" i="1"/>
  <c r="AL113" i="1"/>
  <c r="AP113" i="1"/>
  <c r="AQ113" i="1"/>
  <c r="AR113" i="1"/>
  <c r="AT113" i="1"/>
  <c r="H114" i="1"/>
  <c r="K114" i="1"/>
  <c r="M114" i="1"/>
  <c r="O114" i="1"/>
  <c r="Q114" i="1"/>
  <c r="AJ114" i="1"/>
  <c r="AL114" i="1"/>
  <c r="AP114" i="1"/>
  <c r="AQ114" i="1"/>
  <c r="AR114" i="1"/>
  <c r="AT114" i="1"/>
  <c r="H115" i="1"/>
  <c r="K115" i="1"/>
  <c r="M115" i="1"/>
  <c r="O115" i="1"/>
  <c r="Q115" i="1"/>
  <c r="AJ115" i="1"/>
  <c r="AL115" i="1"/>
  <c r="AP115" i="1"/>
  <c r="AQ115" i="1"/>
  <c r="AR115" i="1"/>
  <c r="AT115" i="1"/>
  <c r="H116" i="1"/>
  <c r="K116" i="1"/>
  <c r="M116" i="1"/>
  <c r="O116" i="1"/>
  <c r="Q116" i="1"/>
  <c r="AJ116" i="1"/>
  <c r="AL116" i="1"/>
  <c r="AP116" i="1"/>
  <c r="AQ116" i="1"/>
  <c r="AR116" i="1"/>
  <c r="AT116" i="1"/>
  <c r="H97" i="1"/>
  <c r="K97" i="1"/>
  <c r="M97" i="1"/>
  <c r="O97" i="1"/>
  <c r="Q97" i="1"/>
  <c r="AJ97" i="1"/>
  <c r="AL97" i="1"/>
  <c r="AP97" i="1"/>
  <c r="AQ97" i="1"/>
  <c r="AR97" i="1"/>
  <c r="AT97" i="1"/>
  <c r="H98" i="1"/>
  <c r="K98" i="1"/>
  <c r="M98" i="1"/>
  <c r="O98" i="1"/>
  <c r="Q98" i="1"/>
  <c r="AJ98" i="1"/>
  <c r="AL98" i="1"/>
  <c r="AP98" i="1"/>
  <c r="AQ98" i="1"/>
  <c r="AR98" i="1"/>
  <c r="AT98" i="1"/>
  <c r="H99" i="1"/>
  <c r="K99" i="1"/>
  <c r="M99" i="1"/>
  <c r="O99" i="1"/>
  <c r="Q99" i="1"/>
  <c r="AJ99" i="1"/>
  <c r="AL99" i="1"/>
  <c r="AP99" i="1"/>
  <c r="AQ99" i="1"/>
  <c r="AR99" i="1"/>
  <c r="AT99" i="1"/>
  <c r="H100" i="1"/>
  <c r="K100" i="1"/>
  <c r="M100" i="1"/>
  <c r="O100" i="1"/>
  <c r="Q100" i="1"/>
  <c r="AJ100" i="1"/>
  <c r="AL100" i="1"/>
  <c r="AP100" i="1"/>
  <c r="AQ100" i="1"/>
  <c r="AR100" i="1"/>
  <c r="AT100" i="1"/>
  <c r="H101" i="1"/>
  <c r="K101" i="1"/>
  <c r="M101" i="1"/>
  <c r="O101" i="1"/>
  <c r="Q101" i="1"/>
  <c r="AJ101" i="1"/>
  <c r="AL101" i="1"/>
  <c r="AP101" i="1"/>
  <c r="AQ101" i="1"/>
  <c r="AR101" i="1"/>
  <c r="AT101" i="1"/>
  <c r="H102" i="1"/>
  <c r="K102" i="1"/>
  <c r="M102" i="1"/>
  <c r="O102" i="1"/>
  <c r="Q102" i="1"/>
  <c r="AJ102" i="1"/>
  <c r="AL102" i="1"/>
  <c r="AP102" i="1"/>
  <c r="AQ102" i="1"/>
  <c r="AR102" i="1"/>
  <c r="AT102" i="1"/>
  <c r="H103" i="1"/>
  <c r="K103" i="1"/>
  <c r="M103" i="1"/>
  <c r="O103" i="1"/>
  <c r="Q103" i="1"/>
  <c r="AJ103" i="1"/>
  <c r="AL103" i="1"/>
  <c r="AP103" i="1"/>
  <c r="AQ103" i="1"/>
  <c r="AR103" i="1"/>
  <c r="AT103" i="1"/>
  <c r="H104" i="1"/>
  <c r="K104" i="1"/>
  <c r="M104" i="1"/>
  <c r="O104" i="1"/>
  <c r="Q104" i="1"/>
  <c r="AJ104" i="1"/>
  <c r="AL104" i="1"/>
  <c r="AP104" i="1"/>
  <c r="AQ104" i="1"/>
  <c r="AR104" i="1"/>
  <c r="AT104" i="1"/>
  <c r="H105" i="1"/>
  <c r="K105" i="1"/>
  <c r="M105" i="1"/>
  <c r="O105" i="1"/>
  <c r="Q105" i="1"/>
  <c r="AJ105" i="1"/>
  <c r="AL105" i="1"/>
  <c r="AP105" i="1"/>
  <c r="AQ105" i="1"/>
  <c r="AR105" i="1"/>
  <c r="AT105" i="1"/>
  <c r="H106" i="1"/>
  <c r="K106" i="1"/>
  <c r="M106" i="1"/>
  <c r="O106" i="1"/>
  <c r="Q106" i="1"/>
  <c r="AJ106" i="1"/>
  <c r="AL106" i="1"/>
  <c r="AP106" i="1"/>
  <c r="AQ106" i="1"/>
  <c r="AR106" i="1"/>
  <c r="AT106" i="1"/>
  <c r="H87" i="1"/>
  <c r="K87" i="1"/>
  <c r="M87" i="1"/>
  <c r="O87" i="1"/>
  <c r="Q87" i="1"/>
  <c r="AJ87" i="1"/>
  <c r="AL87" i="1"/>
  <c r="AP87" i="1"/>
  <c r="AQ87" i="1"/>
  <c r="AR87" i="1"/>
  <c r="AT87" i="1"/>
  <c r="H88" i="1"/>
  <c r="K88" i="1"/>
  <c r="M88" i="1"/>
  <c r="O88" i="1"/>
  <c r="Q88" i="1"/>
  <c r="AJ88" i="1"/>
  <c r="AL88" i="1"/>
  <c r="AP88" i="1"/>
  <c r="AQ88" i="1"/>
  <c r="AR88" i="1"/>
  <c r="AT88" i="1"/>
  <c r="H89" i="1"/>
  <c r="K89" i="1"/>
  <c r="M89" i="1"/>
  <c r="O89" i="1"/>
  <c r="Q89" i="1"/>
  <c r="AJ89" i="1"/>
  <c r="AL89" i="1"/>
  <c r="AP89" i="1"/>
  <c r="AQ89" i="1"/>
  <c r="AR89" i="1"/>
  <c r="AT89" i="1"/>
  <c r="H90" i="1"/>
  <c r="K90" i="1"/>
  <c r="M90" i="1"/>
  <c r="O90" i="1"/>
  <c r="Q90" i="1"/>
  <c r="AJ90" i="1"/>
  <c r="AL90" i="1"/>
  <c r="AP90" i="1"/>
  <c r="AQ90" i="1"/>
  <c r="AR90" i="1"/>
  <c r="AT90" i="1"/>
  <c r="H91" i="1"/>
  <c r="K91" i="1"/>
  <c r="M91" i="1"/>
  <c r="O91" i="1"/>
  <c r="Q91" i="1"/>
  <c r="AJ91" i="1"/>
  <c r="AL91" i="1"/>
  <c r="AP91" i="1"/>
  <c r="AQ91" i="1"/>
  <c r="AR91" i="1"/>
  <c r="AT91" i="1"/>
  <c r="H92" i="1"/>
  <c r="K92" i="1"/>
  <c r="M92" i="1"/>
  <c r="O92" i="1"/>
  <c r="Q92" i="1"/>
  <c r="AJ92" i="1"/>
  <c r="AL92" i="1"/>
  <c r="AP92" i="1"/>
  <c r="AQ92" i="1"/>
  <c r="AR92" i="1"/>
  <c r="AT92" i="1"/>
  <c r="H93" i="1"/>
  <c r="K93" i="1"/>
  <c r="M93" i="1"/>
  <c r="O93" i="1"/>
  <c r="Q93" i="1"/>
  <c r="AJ93" i="1"/>
  <c r="AL93" i="1"/>
  <c r="AP93" i="1"/>
  <c r="AQ93" i="1"/>
  <c r="AR93" i="1"/>
  <c r="AT93" i="1"/>
  <c r="H94" i="1"/>
  <c r="K94" i="1"/>
  <c r="M94" i="1"/>
  <c r="O94" i="1"/>
  <c r="Q94" i="1"/>
  <c r="AJ94" i="1"/>
  <c r="AL94" i="1"/>
  <c r="AP94" i="1"/>
  <c r="AQ94" i="1"/>
  <c r="AR94" i="1"/>
  <c r="AT94" i="1"/>
  <c r="H95" i="1"/>
  <c r="K95" i="1"/>
  <c r="M95" i="1"/>
  <c r="O95" i="1"/>
  <c r="Q95" i="1"/>
  <c r="AJ95" i="1"/>
  <c r="AL95" i="1"/>
  <c r="AP95" i="1"/>
  <c r="AQ95" i="1"/>
  <c r="AR95" i="1"/>
  <c r="AT95" i="1"/>
  <c r="H96" i="1"/>
  <c r="K96" i="1"/>
  <c r="M96" i="1"/>
  <c r="O96" i="1"/>
  <c r="Q96" i="1"/>
  <c r="AJ96" i="1"/>
  <c r="AL96" i="1"/>
  <c r="AP96" i="1"/>
  <c r="AQ96" i="1"/>
  <c r="AR96" i="1"/>
  <c r="AT96" i="1"/>
  <c r="H77" i="1"/>
  <c r="K77" i="1"/>
  <c r="M77" i="1"/>
  <c r="O77" i="1"/>
  <c r="Q77" i="1"/>
  <c r="AJ77" i="1"/>
  <c r="AL77" i="1"/>
  <c r="AP77" i="1"/>
  <c r="AQ77" i="1"/>
  <c r="AR77" i="1"/>
  <c r="AT77" i="1"/>
  <c r="H78" i="1"/>
  <c r="K78" i="1"/>
  <c r="M78" i="1"/>
  <c r="O78" i="1"/>
  <c r="Q78" i="1"/>
  <c r="AJ78" i="1"/>
  <c r="AL78" i="1"/>
  <c r="AP78" i="1"/>
  <c r="AQ78" i="1"/>
  <c r="AR78" i="1"/>
  <c r="AT78" i="1"/>
  <c r="H79" i="1"/>
  <c r="K79" i="1"/>
  <c r="M79" i="1"/>
  <c r="O79" i="1"/>
  <c r="Q79" i="1"/>
  <c r="AJ79" i="1"/>
  <c r="AL79" i="1"/>
  <c r="AP79" i="1"/>
  <c r="AQ79" i="1"/>
  <c r="AR79" i="1"/>
  <c r="AT79" i="1"/>
  <c r="H80" i="1"/>
  <c r="K80" i="1"/>
  <c r="M80" i="1"/>
  <c r="O80" i="1"/>
  <c r="Q80" i="1"/>
  <c r="AJ80" i="1"/>
  <c r="AL80" i="1"/>
  <c r="AP80" i="1"/>
  <c r="AQ80" i="1"/>
  <c r="AR80" i="1"/>
  <c r="AT80" i="1"/>
  <c r="H81" i="1"/>
  <c r="K81" i="1"/>
  <c r="M81" i="1"/>
  <c r="O81" i="1"/>
  <c r="Q81" i="1"/>
  <c r="AJ81" i="1"/>
  <c r="AL81" i="1"/>
  <c r="AP81" i="1"/>
  <c r="AQ81" i="1"/>
  <c r="AR81" i="1"/>
  <c r="AT81" i="1"/>
  <c r="H82" i="1"/>
  <c r="K82" i="1"/>
  <c r="M82" i="1"/>
  <c r="O82" i="1"/>
  <c r="Q82" i="1"/>
  <c r="AJ82" i="1"/>
  <c r="AL82" i="1"/>
  <c r="AP82" i="1"/>
  <c r="AQ82" i="1"/>
  <c r="AR82" i="1"/>
  <c r="AT82" i="1"/>
  <c r="H83" i="1"/>
  <c r="K83" i="1"/>
  <c r="M83" i="1"/>
  <c r="O83" i="1"/>
  <c r="Q83" i="1"/>
  <c r="AJ83" i="1"/>
  <c r="AL83" i="1"/>
  <c r="AP83" i="1"/>
  <c r="AQ83" i="1"/>
  <c r="AR83" i="1"/>
  <c r="AT83" i="1"/>
  <c r="H84" i="1"/>
  <c r="K84" i="1"/>
  <c r="M84" i="1"/>
  <c r="O84" i="1"/>
  <c r="Q84" i="1"/>
  <c r="AJ84" i="1"/>
  <c r="AL84" i="1"/>
  <c r="AP84" i="1"/>
  <c r="AQ84" i="1"/>
  <c r="AR84" i="1"/>
  <c r="AT84" i="1"/>
  <c r="H85" i="1"/>
  <c r="K85" i="1"/>
  <c r="M85" i="1"/>
  <c r="O85" i="1"/>
  <c r="Q85" i="1"/>
  <c r="AJ85" i="1"/>
  <c r="AL85" i="1"/>
  <c r="AP85" i="1"/>
  <c r="AQ85" i="1"/>
  <c r="AR85" i="1"/>
  <c r="AT85" i="1"/>
  <c r="H86" i="1"/>
  <c r="K86" i="1"/>
  <c r="M86" i="1"/>
  <c r="O86" i="1"/>
  <c r="Q86" i="1"/>
  <c r="AJ86" i="1"/>
  <c r="AL86" i="1"/>
  <c r="AP86" i="1"/>
  <c r="AQ86" i="1"/>
  <c r="AR86" i="1"/>
  <c r="AT86" i="1"/>
  <c r="H67" i="1"/>
  <c r="K67" i="1"/>
  <c r="M67" i="1"/>
  <c r="O67" i="1"/>
  <c r="Q67" i="1"/>
  <c r="AJ67" i="1"/>
  <c r="AL67" i="1"/>
  <c r="AP67" i="1"/>
  <c r="AQ67" i="1"/>
  <c r="AR67" i="1"/>
  <c r="AT67" i="1"/>
  <c r="H68" i="1"/>
  <c r="K68" i="1"/>
  <c r="M68" i="1"/>
  <c r="O68" i="1"/>
  <c r="Q68" i="1"/>
  <c r="AJ68" i="1"/>
  <c r="AL68" i="1"/>
  <c r="AP68" i="1"/>
  <c r="AQ68" i="1"/>
  <c r="AR68" i="1"/>
  <c r="AT68" i="1"/>
  <c r="H69" i="1"/>
  <c r="K69" i="1"/>
  <c r="M69" i="1"/>
  <c r="O69" i="1"/>
  <c r="Q69" i="1"/>
  <c r="AJ69" i="1"/>
  <c r="AL69" i="1"/>
  <c r="AP69" i="1"/>
  <c r="AQ69" i="1"/>
  <c r="AR69" i="1"/>
  <c r="AT69" i="1"/>
  <c r="H70" i="1"/>
  <c r="K70" i="1"/>
  <c r="M70" i="1"/>
  <c r="O70" i="1"/>
  <c r="Q70" i="1"/>
  <c r="AJ70" i="1"/>
  <c r="AL70" i="1"/>
  <c r="AP70" i="1"/>
  <c r="AQ70" i="1"/>
  <c r="AR70" i="1"/>
  <c r="AT70" i="1"/>
  <c r="H71" i="1"/>
  <c r="K71" i="1"/>
  <c r="M71" i="1"/>
  <c r="O71" i="1"/>
  <c r="Q71" i="1"/>
  <c r="AJ71" i="1"/>
  <c r="AL71" i="1"/>
  <c r="AP71" i="1"/>
  <c r="AQ71" i="1"/>
  <c r="AR71" i="1"/>
  <c r="AT71" i="1"/>
  <c r="H72" i="1"/>
  <c r="K72" i="1"/>
  <c r="M72" i="1"/>
  <c r="O72" i="1"/>
  <c r="Q72" i="1"/>
  <c r="AJ72" i="1"/>
  <c r="AL72" i="1"/>
  <c r="AP72" i="1"/>
  <c r="AQ72" i="1"/>
  <c r="AR72" i="1"/>
  <c r="AT72" i="1"/>
  <c r="H73" i="1"/>
  <c r="K73" i="1"/>
  <c r="M73" i="1"/>
  <c r="O73" i="1"/>
  <c r="Q73" i="1"/>
  <c r="AJ73" i="1"/>
  <c r="AL73" i="1"/>
  <c r="AP73" i="1"/>
  <c r="AQ73" i="1"/>
  <c r="AR73" i="1"/>
  <c r="AT73" i="1"/>
  <c r="H74" i="1"/>
  <c r="K74" i="1"/>
  <c r="M74" i="1"/>
  <c r="O74" i="1"/>
  <c r="Q74" i="1"/>
  <c r="AJ74" i="1"/>
  <c r="AL74" i="1"/>
  <c r="AP74" i="1"/>
  <c r="AQ74" i="1"/>
  <c r="AR74" i="1"/>
  <c r="AT74" i="1"/>
  <c r="H75" i="1"/>
  <c r="K75" i="1"/>
  <c r="M75" i="1"/>
  <c r="O75" i="1"/>
  <c r="Q75" i="1"/>
  <c r="AJ75" i="1"/>
  <c r="AL75" i="1"/>
  <c r="AP75" i="1"/>
  <c r="AQ75" i="1"/>
  <c r="AR75" i="1"/>
  <c r="AT75" i="1"/>
  <c r="H76" i="1"/>
  <c r="K76" i="1"/>
  <c r="M76" i="1"/>
  <c r="O76" i="1"/>
  <c r="Q76" i="1"/>
  <c r="AJ76" i="1"/>
  <c r="AL76" i="1"/>
  <c r="AP76" i="1"/>
  <c r="AQ76" i="1"/>
  <c r="AR76" i="1"/>
  <c r="AT76" i="1"/>
  <c r="H57" i="1"/>
  <c r="K57" i="1"/>
  <c r="M57" i="1"/>
  <c r="O57" i="1"/>
  <c r="Q57" i="1"/>
  <c r="AJ57" i="1"/>
  <c r="AL57" i="1"/>
  <c r="AP57" i="1"/>
  <c r="AQ57" i="1"/>
  <c r="AR57" i="1"/>
  <c r="AT57" i="1"/>
  <c r="H58" i="1"/>
  <c r="K58" i="1"/>
  <c r="M58" i="1"/>
  <c r="O58" i="1"/>
  <c r="Q58" i="1"/>
  <c r="AJ58" i="1"/>
  <c r="AL58" i="1"/>
  <c r="AP58" i="1"/>
  <c r="AQ58" i="1"/>
  <c r="AR58" i="1"/>
  <c r="AT58" i="1"/>
  <c r="H59" i="1"/>
  <c r="K59" i="1"/>
  <c r="M59" i="1"/>
  <c r="O59" i="1"/>
  <c r="Q59" i="1"/>
  <c r="AJ59" i="1"/>
  <c r="AL59" i="1"/>
  <c r="AP59" i="1"/>
  <c r="AQ59" i="1"/>
  <c r="AR59" i="1"/>
  <c r="AT59" i="1"/>
  <c r="H60" i="1"/>
  <c r="K60" i="1"/>
  <c r="M60" i="1"/>
  <c r="O60" i="1"/>
  <c r="Q60" i="1"/>
  <c r="AJ60" i="1"/>
  <c r="AL60" i="1"/>
  <c r="AP60" i="1"/>
  <c r="AQ60" i="1"/>
  <c r="AR60" i="1"/>
  <c r="AT60" i="1"/>
  <c r="H61" i="1"/>
  <c r="K61" i="1"/>
  <c r="M61" i="1"/>
  <c r="O61" i="1"/>
  <c r="Q61" i="1"/>
  <c r="AJ61" i="1"/>
  <c r="AL61" i="1"/>
  <c r="AP61" i="1"/>
  <c r="AQ61" i="1"/>
  <c r="AR61" i="1"/>
  <c r="AT61" i="1"/>
  <c r="H62" i="1"/>
  <c r="K62" i="1"/>
  <c r="M62" i="1"/>
  <c r="O62" i="1"/>
  <c r="Q62" i="1"/>
  <c r="AJ62" i="1"/>
  <c r="AL62" i="1"/>
  <c r="AP62" i="1"/>
  <c r="AQ62" i="1"/>
  <c r="AR62" i="1"/>
  <c r="AT62" i="1"/>
  <c r="H63" i="1"/>
  <c r="K63" i="1"/>
  <c r="M63" i="1"/>
  <c r="O63" i="1"/>
  <c r="Q63" i="1"/>
  <c r="AJ63" i="1"/>
  <c r="AL63" i="1"/>
  <c r="AP63" i="1"/>
  <c r="AQ63" i="1"/>
  <c r="AR63" i="1"/>
  <c r="AT63" i="1"/>
  <c r="H64" i="1"/>
  <c r="K64" i="1"/>
  <c r="M64" i="1"/>
  <c r="O64" i="1"/>
  <c r="Q64" i="1"/>
  <c r="AJ64" i="1"/>
  <c r="AL64" i="1"/>
  <c r="AP64" i="1"/>
  <c r="AQ64" i="1"/>
  <c r="AR64" i="1"/>
  <c r="AT64" i="1"/>
  <c r="H65" i="1"/>
  <c r="K65" i="1"/>
  <c r="M65" i="1"/>
  <c r="O65" i="1"/>
  <c r="Q65" i="1"/>
  <c r="AJ65" i="1"/>
  <c r="AL65" i="1"/>
  <c r="AP65" i="1"/>
  <c r="AQ65" i="1"/>
  <c r="AR65" i="1"/>
  <c r="AT65" i="1"/>
  <c r="H66" i="1"/>
  <c r="K66" i="1"/>
  <c r="M66" i="1"/>
  <c r="O66" i="1"/>
  <c r="Q66" i="1"/>
  <c r="AJ66" i="1"/>
  <c r="AL66" i="1"/>
  <c r="AP66" i="1"/>
  <c r="AQ66" i="1"/>
  <c r="AR66" i="1"/>
  <c r="AT66" i="1"/>
  <c r="H47" i="1"/>
  <c r="K47" i="1"/>
  <c r="M47" i="1"/>
  <c r="O47" i="1"/>
  <c r="Q47" i="1"/>
  <c r="AJ47" i="1"/>
  <c r="AL47" i="1"/>
  <c r="AP47" i="1"/>
  <c r="AQ47" i="1"/>
  <c r="AR47" i="1"/>
  <c r="AT47" i="1"/>
  <c r="H48" i="1"/>
  <c r="K48" i="1"/>
  <c r="M48" i="1"/>
  <c r="O48" i="1"/>
  <c r="Q48" i="1"/>
  <c r="AJ48" i="1"/>
  <c r="AL48" i="1"/>
  <c r="AP48" i="1"/>
  <c r="AQ48" i="1"/>
  <c r="AR48" i="1"/>
  <c r="AT48" i="1"/>
  <c r="H49" i="1"/>
  <c r="K49" i="1"/>
  <c r="M49" i="1"/>
  <c r="O49" i="1"/>
  <c r="Q49" i="1"/>
  <c r="AJ49" i="1"/>
  <c r="AL49" i="1"/>
  <c r="AP49" i="1"/>
  <c r="AQ49" i="1"/>
  <c r="AR49" i="1"/>
  <c r="AT49" i="1"/>
  <c r="H50" i="1"/>
  <c r="K50" i="1"/>
  <c r="M50" i="1"/>
  <c r="O50" i="1"/>
  <c r="Q50" i="1"/>
  <c r="AJ50" i="1"/>
  <c r="AL50" i="1"/>
  <c r="AP50" i="1"/>
  <c r="AQ50" i="1"/>
  <c r="AR50" i="1"/>
  <c r="AT50" i="1"/>
  <c r="H51" i="1"/>
  <c r="K51" i="1"/>
  <c r="M51" i="1"/>
  <c r="O51" i="1"/>
  <c r="Q51" i="1"/>
  <c r="AJ51" i="1"/>
  <c r="AL51" i="1"/>
  <c r="AP51" i="1"/>
  <c r="AQ51" i="1"/>
  <c r="AR51" i="1"/>
  <c r="AT51" i="1"/>
  <c r="H52" i="1"/>
  <c r="K52" i="1"/>
  <c r="M52" i="1"/>
  <c r="O52" i="1"/>
  <c r="Q52" i="1"/>
  <c r="AJ52" i="1"/>
  <c r="AL52" i="1"/>
  <c r="AP52" i="1"/>
  <c r="AQ52" i="1"/>
  <c r="AR52" i="1"/>
  <c r="AT52" i="1"/>
  <c r="H53" i="1"/>
  <c r="K53" i="1"/>
  <c r="M53" i="1"/>
  <c r="O53" i="1"/>
  <c r="Q53" i="1"/>
  <c r="AJ53" i="1"/>
  <c r="AL53" i="1"/>
  <c r="AP53" i="1"/>
  <c r="AQ53" i="1"/>
  <c r="AR53" i="1"/>
  <c r="AT53" i="1"/>
  <c r="H54" i="1"/>
  <c r="K54" i="1"/>
  <c r="M54" i="1"/>
  <c r="O54" i="1"/>
  <c r="Q54" i="1"/>
  <c r="AJ54" i="1"/>
  <c r="AL54" i="1"/>
  <c r="AP54" i="1"/>
  <c r="AQ54" i="1"/>
  <c r="AR54" i="1"/>
  <c r="AT54" i="1"/>
  <c r="H55" i="1"/>
  <c r="K55" i="1"/>
  <c r="M55" i="1"/>
  <c r="O55" i="1"/>
  <c r="Q55" i="1"/>
  <c r="AJ55" i="1"/>
  <c r="AL55" i="1"/>
  <c r="AP55" i="1"/>
  <c r="AQ55" i="1"/>
  <c r="AR55" i="1"/>
  <c r="AT55" i="1"/>
  <c r="H56" i="1"/>
  <c r="K56" i="1"/>
  <c r="M56" i="1"/>
  <c r="O56" i="1"/>
  <c r="Q56" i="1"/>
  <c r="AJ56" i="1"/>
  <c r="AL56" i="1"/>
  <c r="AP56" i="1"/>
  <c r="AQ56" i="1"/>
  <c r="AR56" i="1"/>
  <c r="AT56" i="1"/>
  <c r="H37" i="1"/>
  <c r="K37" i="1"/>
  <c r="M37" i="1"/>
  <c r="O37" i="1"/>
  <c r="Q37" i="1"/>
  <c r="AJ37" i="1"/>
  <c r="AL37" i="1"/>
  <c r="AP37" i="1"/>
  <c r="AQ37" i="1"/>
  <c r="AR37" i="1"/>
  <c r="AT37" i="1"/>
  <c r="H38" i="1"/>
  <c r="K38" i="1"/>
  <c r="M38" i="1"/>
  <c r="O38" i="1"/>
  <c r="Q38" i="1"/>
  <c r="AJ38" i="1"/>
  <c r="AL38" i="1"/>
  <c r="AP38" i="1"/>
  <c r="AQ38" i="1"/>
  <c r="AR38" i="1"/>
  <c r="AT38" i="1"/>
  <c r="H39" i="1"/>
  <c r="K39" i="1"/>
  <c r="M39" i="1"/>
  <c r="O39" i="1"/>
  <c r="Q39" i="1"/>
  <c r="AJ39" i="1"/>
  <c r="AL39" i="1"/>
  <c r="AP39" i="1"/>
  <c r="AQ39" i="1"/>
  <c r="AR39" i="1"/>
  <c r="AT39" i="1"/>
  <c r="H40" i="1"/>
  <c r="K40" i="1"/>
  <c r="M40" i="1"/>
  <c r="O40" i="1"/>
  <c r="Q40" i="1"/>
  <c r="AJ40" i="1"/>
  <c r="AL40" i="1"/>
  <c r="AP40" i="1"/>
  <c r="AQ40" i="1"/>
  <c r="AR40" i="1"/>
  <c r="AT40" i="1"/>
  <c r="H41" i="1"/>
  <c r="K41" i="1"/>
  <c r="M41" i="1"/>
  <c r="O41" i="1"/>
  <c r="Q41" i="1"/>
  <c r="AJ41" i="1"/>
  <c r="AL41" i="1"/>
  <c r="AP41" i="1"/>
  <c r="AQ41" i="1"/>
  <c r="AR41" i="1"/>
  <c r="AT41" i="1"/>
  <c r="H42" i="1"/>
  <c r="K42" i="1"/>
  <c r="M42" i="1"/>
  <c r="O42" i="1"/>
  <c r="Q42" i="1"/>
  <c r="AJ42" i="1"/>
  <c r="AL42" i="1"/>
  <c r="AP42" i="1"/>
  <c r="AQ42" i="1"/>
  <c r="AR42" i="1"/>
  <c r="AT42" i="1"/>
  <c r="H43" i="1"/>
  <c r="K43" i="1"/>
  <c r="M43" i="1"/>
  <c r="O43" i="1"/>
  <c r="Q43" i="1"/>
  <c r="AJ43" i="1"/>
  <c r="AL43" i="1"/>
  <c r="AP43" i="1"/>
  <c r="AQ43" i="1"/>
  <c r="AR43" i="1"/>
  <c r="AT43" i="1"/>
  <c r="H44" i="1"/>
  <c r="K44" i="1"/>
  <c r="M44" i="1"/>
  <c r="O44" i="1"/>
  <c r="Q44" i="1"/>
  <c r="AJ44" i="1"/>
  <c r="AL44" i="1"/>
  <c r="AP44" i="1"/>
  <c r="AQ44" i="1"/>
  <c r="AR44" i="1"/>
  <c r="AT44" i="1"/>
  <c r="H45" i="1"/>
  <c r="K45" i="1"/>
  <c r="M45" i="1"/>
  <c r="O45" i="1"/>
  <c r="Q45" i="1"/>
  <c r="AJ45" i="1"/>
  <c r="AL45" i="1"/>
  <c r="AP45" i="1"/>
  <c r="AQ45" i="1"/>
  <c r="AR45" i="1"/>
  <c r="AT45" i="1"/>
  <c r="H46" i="1"/>
  <c r="K46" i="1"/>
  <c r="M46" i="1"/>
  <c r="O46" i="1"/>
  <c r="Q46" i="1"/>
  <c r="AJ46" i="1"/>
  <c r="AL46" i="1"/>
  <c r="AP46" i="1"/>
  <c r="AQ46" i="1"/>
  <c r="AR46" i="1"/>
  <c r="AT46" i="1"/>
  <c r="H27" i="1"/>
  <c r="K27" i="1"/>
  <c r="M27" i="1"/>
  <c r="O27" i="1"/>
  <c r="Q27" i="1"/>
  <c r="AJ27" i="1"/>
  <c r="AL27" i="1"/>
  <c r="AP27" i="1"/>
  <c r="AQ27" i="1"/>
  <c r="AR27" i="1"/>
  <c r="AT27" i="1"/>
  <c r="H28" i="1"/>
  <c r="K28" i="1"/>
  <c r="M28" i="1"/>
  <c r="O28" i="1"/>
  <c r="Q28" i="1"/>
  <c r="AJ28" i="1"/>
  <c r="AL28" i="1"/>
  <c r="AP28" i="1"/>
  <c r="AQ28" i="1"/>
  <c r="AR28" i="1"/>
  <c r="AT28" i="1"/>
  <c r="H29" i="1"/>
  <c r="K29" i="1"/>
  <c r="M29" i="1"/>
  <c r="O29" i="1"/>
  <c r="Q29" i="1"/>
  <c r="AJ29" i="1"/>
  <c r="AL29" i="1"/>
  <c r="AP29" i="1"/>
  <c r="AQ29" i="1"/>
  <c r="AR29" i="1"/>
  <c r="AT29" i="1"/>
  <c r="H30" i="1"/>
  <c r="K30" i="1"/>
  <c r="M30" i="1"/>
  <c r="O30" i="1"/>
  <c r="Q30" i="1"/>
  <c r="AJ30" i="1"/>
  <c r="AL30" i="1"/>
  <c r="AP30" i="1"/>
  <c r="AQ30" i="1"/>
  <c r="AR30" i="1"/>
  <c r="AT30" i="1"/>
  <c r="H31" i="1"/>
  <c r="K31" i="1"/>
  <c r="M31" i="1"/>
  <c r="O31" i="1"/>
  <c r="Q31" i="1"/>
  <c r="AJ31" i="1"/>
  <c r="AL31" i="1"/>
  <c r="AP31" i="1"/>
  <c r="AQ31" i="1"/>
  <c r="AR31" i="1"/>
  <c r="AT31" i="1"/>
  <c r="H32" i="1"/>
  <c r="K32" i="1"/>
  <c r="M32" i="1"/>
  <c r="O32" i="1"/>
  <c r="Q32" i="1"/>
  <c r="AJ32" i="1"/>
  <c r="AL32" i="1"/>
  <c r="AP32" i="1"/>
  <c r="AQ32" i="1"/>
  <c r="AR32" i="1"/>
  <c r="AT32" i="1"/>
  <c r="H33" i="1"/>
  <c r="K33" i="1"/>
  <c r="M33" i="1"/>
  <c r="O33" i="1"/>
  <c r="Q33" i="1"/>
  <c r="AJ33" i="1"/>
  <c r="AL33" i="1"/>
  <c r="AP33" i="1"/>
  <c r="AQ33" i="1"/>
  <c r="AR33" i="1"/>
  <c r="AT33" i="1"/>
  <c r="H34" i="1"/>
  <c r="K34" i="1"/>
  <c r="M34" i="1"/>
  <c r="O34" i="1"/>
  <c r="Q34" i="1"/>
  <c r="AJ34" i="1"/>
  <c r="AL34" i="1"/>
  <c r="AP34" i="1"/>
  <c r="AQ34" i="1"/>
  <c r="AR34" i="1"/>
  <c r="AT34" i="1"/>
  <c r="H35" i="1"/>
  <c r="K35" i="1"/>
  <c r="M35" i="1"/>
  <c r="O35" i="1"/>
  <c r="Q35" i="1"/>
  <c r="AJ35" i="1"/>
  <c r="AL35" i="1"/>
  <c r="AP35" i="1"/>
  <c r="AQ35" i="1"/>
  <c r="AR35" i="1"/>
  <c r="AT35" i="1"/>
  <c r="H36" i="1"/>
  <c r="K36" i="1"/>
  <c r="M36" i="1"/>
  <c r="O36" i="1"/>
  <c r="Q36" i="1"/>
  <c r="AJ36" i="1"/>
  <c r="AL36" i="1"/>
  <c r="AP36" i="1"/>
  <c r="AQ36" i="1"/>
  <c r="AR36" i="1"/>
  <c r="AT36" i="1"/>
  <c r="H17" i="1"/>
  <c r="K17" i="1"/>
  <c r="M17" i="1"/>
  <c r="O17" i="1"/>
  <c r="Q17" i="1"/>
  <c r="AJ17" i="1"/>
  <c r="AL17" i="1"/>
  <c r="AP17" i="1"/>
  <c r="AQ17" i="1"/>
  <c r="AR17" i="1"/>
  <c r="AT17" i="1"/>
  <c r="H18" i="1"/>
  <c r="K18" i="1"/>
  <c r="M18" i="1"/>
  <c r="O18" i="1"/>
  <c r="Q18" i="1"/>
  <c r="AJ18" i="1"/>
  <c r="AL18" i="1"/>
  <c r="AP18" i="1"/>
  <c r="AQ18" i="1"/>
  <c r="AR18" i="1"/>
  <c r="AT18" i="1"/>
  <c r="H19" i="1"/>
  <c r="K19" i="1"/>
  <c r="M19" i="1"/>
  <c r="O19" i="1"/>
  <c r="Q19" i="1"/>
  <c r="AJ19" i="1"/>
  <c r="AL19" i="1"/>
  <c r="AP19" i="1"/>
  <c r="AQ19" i="1"/>
  <c r="AR19" i="1"/>
  <c r="AT19" i="1"/>
  <c r="H20" i="1"/>
  <c r="K20" i="1"/>
  <c r="M20" i="1"/>
  <c r="O20" i="1"/>
  <c r="Q20" i="1"/>
  <c r="AJ20" i="1"/>
  <c r="AL20" i="1"/>
  <c r="AP20" i="1"/>
  <c r="AQ20" i="1"/>
  <c r="AR20" i="1"/>
  <c r="AT20" i="1"/>
  <c r="H21" i="1"/>
  <c r="K21" i="1"/>
  <c r="M21" i="1"/>
  <c r="O21" i="1"/>
  <c r="Q21" i="1"/>
  <c r="AJ21" i="1"/>
  <c r="AL21" i="1"/>
  <c r="AP21" i="1"/>
  <c r="AQ21" i="1"/>
  <c r="AR21" i="1"/>
  <c r="AT21" i="1"/>
  <c r="H22" i="1"/>
  <c r="K22" i="1"/>
  <c r="M22" i="1"/>
  <c r="O22" i="1"/>
  <c r="Q22" i="1"/>
  <c r="AJ22" i="1"/>
  <c r="AL22" i="1"/>
  <c r="AP22" i="1"/>
  <c r="AQ22" i="1"/>
  <c r="AR22" i="1"/>
  <c r="AT22" i="1"/>
  <c r="H23" i="1"/>
  <c r="K23" i="1"/>
  <c r="M23" i="1"/>
  <c r="O23" i="1"/>
  <c r="Q23" i="1"/>
  <c r="AJ23" i="1"/>
  <c r="AL23" i="1"/>
  <c r="AP23" i="1"/>
  <c r="AQ23" i="1"/>
  <c r="AR23" i="1"/>
  <c r="AT23" i="1"/>
  <c r="H24" i="1"/>
  <c r="K24" i="1"/>
  <c r="M24" i="1"/>
  <c r="O24" i="1"/>
  <c r="Q24" i="1"/>
  <c r="AJ24" i="1"/>
  <c r="AL24" i="1"/>
  <c r="AP24" i="1"/>
  <c r="AQ24" i="1"/>
  <c r="AR24" i="1"/>
  <c r="AT24" i="1"/>
  <c r="H25" i="1"/>
  <c r="K25" i="1"/>
  <c r="M25" i="1"/>
  <c r="O25" i="1"/>
  <c r="Q25" i="1"/>
  <c r="AJ25" i="1"/>
  <c r="AL25" i="1"/>
  <c r="AP25" i="1"/>
  <c r="AQ25" i="1"/>
  <c r="AR25" i="1"/>
  <c r="AT25" i="1"/>
  <c r="H26" i="1"/>
  <c r="K26" i="1"/>
  <c r="M26" i="1"/>
  <c r="O26" i="1"/>
  <c r="Q26" i="1"/>
  <c r="AJ26" i="1"/>
  <c r="AL26" i="1"/>
  <c r="AP26" i="1"/>
  <c r="AQ26" i="1"/>
  <c r="AR26" i="1"/>
  <c r="AT26" i="1"/>
  <c r="H7" i="1"/>
  <c r="K7" i="1"/>
  <c r="M7" i="1"/>
  <c r="O7" i="1"/>
  <c r="Q7" i="1"/>
  <c r="AJ7" i="1"/>
  <c r="AL7" i="1"/>
  <c r="AP7" i="1"/>
  <c r="AQ7" i="1"/>
  <c r="AR7" i="1"/>
  <c r="AT7" i="1"/>
  <c r="H8" i="1"/>
  <c r="K8" i="1"/>
  <c r="M8" i="1"/>
  <c r="O8" i="1"/>
  <c r="Q8" i="1"/>
  <c r="AJ8" i="1"/>
  <c r="AL8" i="1"/>
  <c r="AP8" i="1"/>
  <c r="AQ8" i="1"/>
  <c r="AR8" i="1"/>
  <c r="AT8" i="1"/>
  <c r="H9" i="1"/>
  <c r="K9" i="1"/>
  <c r="M9" i="1"/>
  <c r="O9" i="1"/>
  <c r="Q9" i="1"/>
  <c r="AJ9" i="1"/>
  <c r="AL9" i="1"/>
  <c r="AP9" i="1"/>
  <c r="AQ9" i="1"/>
  <c r="AR9" i="1"/>
  <c r="AT9" i="1"/>
  <c r="H10" i="1"/>
  <c r="K10" i="1"/>
  <c r="M10" i="1"/>
  <c r="O10" i="1"/>
  <c r="Q10" i="1"/>
  <c r="AJ10" i="1"/>
  <c r="AL10" i="1"/>
  <c r="AP10" i="1"/>
  <c r="AQ10" i="1"/>
  <c r="AR10" i="1"/>
  <c r="AT10" i="1"/>
  <c r="H11" i="1"/>
  <c r="K11" i="1"/>
  <c r="M11" i="1"/>
  <c r="O11" i="1"/>
  <c r="Q11" i="1"/>
  <c r="AJ11" i="1"/>
  <c r="AL11" i="1"/>
  <c r="AP11" i="1"/>
  <c r="AQ11" i="1"/>
  <c r="AR11" i="1"/>
  <c r="AT11" i="1"/>
  <c r="H12" i="1"/>
  <c r="K12" i="1"/>
  <c r="M12" i="1"/>
  <c r="O12" i="1"/>
  <c r="Q12" i="1"/>
  <c r="AJ12" i="1"/>
  <c r="AL12" i="1"/>
  <c r="AP12" i="1"/>
  <c r="AQ12" i="1"/>
  <c r="AR12" i="1"/>
  <c r="AT12" i="1"/>
  <c r="H13" i="1"/>
  <c r="K13" i="1"/>
  <c r="M13" i="1"/>
  <c r="O13" i="1"/>
  <c r="Q13" i="1"/>
  <c r="AJ13" i="1"/>
  <c r="AL13" i="1"/>
  <c r="AP13" i="1"/>
  <c r="AQ13" i="1"/>
  <c r="AR13" i="1"/>
  <c r="AT13" i="1"/>
  <c r="H14" i="1"/>
  <c r="K14" i="1"/>
  <c r="M14" i="1"/>
  <c r="O14" i="1"/>
  <c r="Q14" i="1"/>
  <c r="AJ14" i="1"/>
  <c r="AL14" i="1"/>
  <c r="AP14" i="1"/>
  <c r="AQ14" i="1"/>
  <c r="AR14" i="1"/>
  <c r="AT14" i="1"/>
  <c r="H15" i="1"/>
  <c r="K15" i="1"/>
  <c r="M15" i="1"/>
  <c r="O15" i="1"/>
  <c r="Q15" i="1"/>
  <c r="AJ15" i="1"/>
  <c r="AL15" i="1"/>
  <c r="AP15" i="1"/>
  <c r="AQ15" i="1"/>
  <c r="AR15" i="1"/>
  <c r="AT15" i="1"/>
  <c r="H16" i="1"/>
  <c r="K16" i="1"/>
  <c r="M16" i="1"/>
  <c r="O16" i="1"/>
  <c r="Q16" i="1"/>
  <c r="AJ16" i="1"/>
  <c r="AL16" i="1"/>
  <c r="AP16" i="1"/>
  <c r="AQ16" i="1"/>
  <c r="AR16" i="1"/>
  <c r="AT16" i="1"/>
  <c r="K22" i="5"/>
  <c r="K23" i="5"/>
  <c r="K24" i="5"/>
  <c r="K25" i="5"/>
  <c r="K26" i="5"/>
  <c r="K21" i="5"/>
  <c r="K20" i="5"/>
  <c r="K19" i="5"/>
  <c r="K18" i="5"/>
  <c r="K17" i="5"/>
  <c r="K16" i="5"/>
  <c r="K15" i="5"/>
  <c r="K14" i="5"/>
  <c r="K13" i="5"/>
  <c r="K12" i="5"/>
  <c r="K11" i="5"/>
  <c r="K10" i="5"/>
  <c r="K9" i="5"/>
  <c r="K8" i="5"/>
  <c r="K7" i="5"/>
  <c r="K6" i="5"/>
  <c r="D503" i="2"/>
  <c r="G503" i="2"/>
  <c r="I503" i="2" s="1"/>
  <c r="H503" i="2" s="1"/>
  <c r="L503" i="2"/>
  <c r="D504" i="2"/>
  <c r="G504" i="2"/>
  <c r="I504" i="2" s="1"/>
  <c r="H504" i="2" s="1"/>
  <c r="L504" i="2"/>
  <c r="F504" i="2" s="1"/>
  <c r="D505" i="2"/>
  <c r="G505" i="2"/>
  <c r="I505" i="2" s="1"/>
  <c r="H505" i="2"/>
  <c r="L505" i="2"/>
  <c r="F505" i="2" s="1"/>
  <c r="D6" i="2"/>
  <c r="G6" i="2"/>
  <c r="I6" i="2"/>
  <c r="H6" i="2" s="1"/>
  <c r="L6" i="2"/>
  <c r="F6" i="2" s="1"/>
  <c r="D7" i="2"/>
  <c r="G7" i="2"/>
  <c r="I7" i="2" s="1"/>
  <c r="H7" i="2" s="1"/>
  <c r="L7" i="2"/>
  <c r="F7" i="2" s="1"/>
  <c r="D8" i="2"/>
  <c r="G8" i="2"/>
  <c r="I8" i="2"/>
  <c r="H8" i="2" s="1"/>
  <c r="L8" i="2"/>
  <c r="F8" i="2" s="1"/>
  <c r="D9" i="2"/>
  <c r="F9" i="2"/>
  <c r="G9" i="2"/>
  <c r="I9" i="2" s="1"/>
  <c r="H9" i="2"/>
  <c r="L9" i="2"/>
  <c r="D10" i="2"/>
  <c r="G10" i="2"/>
  <c r="I10" i="2" s="1"/>
  <c r="H10" i="2" s="1"/>
  <c r="L10" i="2"/>
  <c r="F10" i="2" s="1"/>
  <c r="D11" i="2"/>
  <c r="G11" i="2"/>
  <c r="I11" i="2" s="1"/>
  <c r="H11" i="2" s="1"/>
  <c r="L11" i="2"/>
  <c r="F11" i="2" s="1"/>
  <c r="D12" i="2"/>
  <c r="G12" i="2"/>
  <c r="I12" i="2" s="1"/>
  <c r="H12" i="2" s="1"/>
  <c r="L12" i="2"/>
  <c r="F12" i="2" s="1"/>
  <c r="D13" i="2"/>
  <c r="G13" i="2"/>
  <c r="I13" i="2" s="1"/>
  <c r="H13" i="2" s="1"/>
  <c r="L13" i="2"/>
  <c r="D14" i="2"/>
  <c r="G14" i="2"/>
  <c r="I14" i="2" s="1"/>
  <c r="H14" i="2" s="1"/>
  <c r="L14" i="2"/>
  <c r="D15" i="2"/>
  <c r="G15" i="2"/>
  <c r="I15" i="2" s="1"/>
  <c r="H15" i="2" s="1"/>
  <c r="L15" i="2"/>
  <c r="D16" i="2"/>
  <c r="G16" i="2"/>
  <c r="I16" i="2" s="1"/>
  <c r="H16" i="2" s="1"/>
  <c r="L16" i="2"/>
  <c r="D17" i="2"/>
  <c r="G17" i="2"/>
  <c r="I17" i="2" s="1"/>
  <c r="H17" i="2" s="1"/>
  <c r="L17" i="2"/>
  <c r="D18" i="2"/>
  <c r="G18" i="2"/>
  <c r="I18" i="2" s="1"/>
  <c r="H18" i="2" s="1"/>
  <c r="L18" i="2"/>
  <c r="D19" i="2"/>
  <c r="G19" i="2"/>
  <c r="I19" i="2" s="1"/>
  <c r="H19" i="2" s="1"/>
  <c r="L19" i="2"/>
  <c r="D20" i="2"/>
  <c r="G20" i="2"/>
  <c r="I20" i="2" s="1"/>
  <c r="H20" i="2" s="1"/>
  <c r="L20" i="2"/>
  <c r="F20" i="2" s="1"/>
  <c r="D21" i="2"/>
  <c r="F21" i="2" s="1"/>
  <c r="G21" i="2"/>
  <c r="I21" i="2" s="1"/>
  <c r="H21" i="2" s="1"/>
  <c r="L21" i="2"/>
  <c r="D22" i="2"/>
  <c r="G22" i="2"/>
  <c r="I22" i="2" s="1"/>
  <c r="H22" i="2" s="1"/>
  <c r="L22" i="2"/>
  <c r="D23" i="2"/>
  <c r="G23" i="2"/>
  <c r="I23" i="2" s="1"/>
  <c r="H23" i="2" s="1"/>
  <c r="L23" i="2"/>
  <c r="D24" i="2"/>
  <c r="G24" i="2"/>
  <c r="I24" i="2" s="1"/>
  <c r="H24" i="2" s="1"/>
  <c r="L24" i="2"/>
  <c r="D25" i="2"/>
  <c r="G25" i="2"/>
  <c r="I25" i="2" s="1"/>
  <c r="H25" i="2" s="1"/>
  <c r="L25" i="2"/>
  <c r="D26" i="2"/>
  <c r="G26" i="2"/>
  <c r="I26" i="2" s="1"/>
  <c r="H26" i="2" s="1"/>
  <c r="L26" i="2"/>
  <c r="D27" i="2"/>
  <c r="F27" i="2"/>
  <c r="G27" i="2"/>
  <c r="I27" i="2" s="1"/>
  <c r="H27" i="2" s="1"/>
  <c r="L27" i="2"/>
  <c r="D28" i="2"/>
  <c r="G28" i="2"/>
  <c r="I28" i="2" s="1"/>
  <c r="H28" i="2" s="1"/>
  <c r="L28" i="2"/>
  <c r="D29" i="2"/>
  <c r="F29" i="2"/>
  <c r="G29" i="2"/>
  <c r="I29" i="2" s="1"/>
  <c r="H29" i="2" s="1"/>
  <c r="L29" i="2"/>
  <c r="D30" i="2"/>
  <c r="G30" i="2"/>
  <c r="I30" i="2" s="1"/>
  <c r="H30" i="2" s="1"/>
  <c r="L30" i="2"/>
  <c r="F30" i="2" s="1"/>
  <c r="D31" i="2"/>
  <c r="G31" i="2"/>
  <c r="I31" i="2" s="1"/>
  <c r="H31" i="2"/>
  <c r="L31" i="2"/>
  <c r="D32" i="2"/>
  <c r="G32" i="2"/>
  <c r="I32" i="2"/>
  <c r="H32" i="2" s="1"/>
  <c r="L32" i="2"/>
  <c r="F32" i="2" s="1"/>
  <c r="D33" i="2"/>
  <c r="G33" i="2"/>
  <c r="I33" i="2" s="1"/>
  <c r="H33" i="2"/>
  <c r="L33" i="2"/>
  <c r="F33" i="2" s="1"/>
  <c r="D34" i="2"/>
  <c r="G34" i="2"/>
  <c r="I34" i="2"/>
  <c r="H34" i="2" s="1"/>
  <c r="L34" i="2"/>
  <c r="D35" i="2"/>
  <c r="G35" i="2"/>
  <c r="I35" i="2" s="1"/>
  <c r="H35" i="2" s="1"/>
  <c r="L35" i="2"/>
  <c r="F35" i="2" s="1"/>
  <c r="D36" i="2"/>
  <c r="G36" i="2"/>
  <c r="I36" i="2"/>
  <c r="H36" i="2" s="1"/>
  <c r="L36" i="2"/>
  <c r="D37" i="2"/>
  <c r="G37" i="2"/>
  <c r="I37" i="2" s="1"/>
  <c r="H37" i="2" s="1"/>
  <c r="L37" i="2"/>
  <c r="D38" i="2"/>
  <c r="F38" i="2"/>
  <c r="G38" i="2"/>
  <c r="I38" i="2"/>
  <c r="H38" i="2" s="1"/>
  <c r="L38" i="2"/>
  <c r="D39" i="2"/>
  <c r="G39" i="2"/>
  <c r="I39" i="2" s="1"/>
  <c r="H39" i="2" s="1"/>
  <c r="L39" i="2"/>
  <c r="D40" i="2"/>
  <c r="G40" i="2"/>
  <c r="I40" i="2" s="1"/>
  <c r="H40" i="2" s="1"/>
  <c r="L40" i="2"/>
  <c r="D41" i="2"/>
  <c r="G41" i="2"/>
  <c r="I41" i="2" s="1"/>
  <c r="H41" i="2" s="1"/>
  <c r="L41" i="2"/>
  <c r="D42" i="2"/>
  <c r="G42" i="2"/>
  <c r="I42" i="2" s="1"/>
  <c r="H42" i="2" s="1"/>
  <c r="L42" i="2"/>
  <c r="D43" i="2"/>
  <c r="F43" i="2"/>
  <c r="G43" i="2"/>
  <c r="I43" i="2" s="1"/>
  <c r="H43" i="2" s="1"/>
  <c r="L43" i="2"/>
  <c r="D44" i="2"/>
  <c r="G44" i="2"/>
  <c r="I44" i="2" s="1"/>
  <c r="H44" i="2" s="1"/>
  <c r="L44" i="2"/>
  <c r="D45" i="2"/>
  <c r="G45" i="2"/>
  <c r="I45" i="2" s="1"/>
  <c r="H45" i="2" s="1"/>
  <c r="L45" i="2"/>
  <c r="D46" i="2"/>
  <c r="G46" i="2"/>
  <c r="I46" i="2"/>
  <c r="H46" i="2" s="1"/>
  <c r="L46" i="2"/>
  <c r="D47" i="2"/>
  <c r="G47" i="2"/>
  <c r="I47" i="2" s="1"/>
  <c r="H47" i="2"/>
  <c r="L47" i="2"/>
  <c r="D48" i="2"/>
  <c r="G48" i="2"/>
  <c r="I48" i="2"/>
  <c r="H48" i="2" s="1"/>
  <c r="L48" i="2"/>
  <c r="D49" i="2"/>
  <c r="G49" i="2"/>
  <c r="I49" i="2" s="1"/>
  <c r="H49" i="2"/>
  <c r="L49" i="2"/>
  <c r="D50" i="2"/>
  <c r="G50" i="2"/>
  <c r="I50" i="2" s="1"/>
  <c r="H50" i="2" s="1"/>
  <c r="L50" i="2"/>
  <c r="D51" i="2"/>
  <c r="F51" i="2"/>
  <c r="G51" i="2"/>
  <c r="I51" i="2" s="1"/>
  <c r="H51" i="2" s="1"/>
  <c r="L51" i="2"/>
  <c r="D52" i="2"/>
  <c r="G52" i="2"/>
  <c r="I52" i="2" s="1"/>
  <c r="H52" i="2" s="1"/>
  <c r="L52" i="2"/>
  <c r="D53" i="2"/>
  <c r="F53" i="2" s="1"/>
  <c r="G53" i="2"/>
  <c r="I53" i="2" s="1"/>
  <c r="H53" i="2" s="1"/>
  <c r="L53" i="2"/>
  <c r="D54" i="2"/>
  <c r="G54" i="2"/>
  <c r="I54" i="2" s="1"/>
  <c r="H54" i="2" s="1"/>
  <c r="L54" i="2"/>
  <c r="D55" i="2"/>
  <c r="G55" i="2"/>
  <c r="I55" i="2" s="1"/>
  <c r="H55" i="2" s="1"/>
  <c r="L55" i="2"/>
  <c r="D56" i="2"/>
  <c r="G56" i="2"/>
  <c r="I56" i="2" s="1"/>
  <c r="H56" i="2" s="1"/>
  <c r="L56" i="2"/>
  <c r="D57" i="2"/>
  <c r="G57" i="2"/>
  <c r="I57" i="2" s="1"/>
  <c r="H57" i="2" s="1"/>
  <c r="L57" i="2"/>
  <c r="D58" i="2"/>
  <c r="G58" i="2"/>
  <c r="I58" i="2" s="1"/>
  <c r="H58" i="2" s="1"/>
  <c r="L58" i="2"/>
  <c r="D59" i="2"/>
  <c r="G59" i="2"/>
  <c r="I59" i="2" s="1"/>
  <c r="H59" i="2" s="1"/>
  <c r="L59" i="2"/>
  <c r="D60" i="2"/>
  <c r="G60" i="2"/>
  <c r="I60" i="2" s="1"/>
  <c r="H60" i="2" s="1"/>
  <c r="L60" i="2"/>
  <c r="D61" i="2"/>
  <c r="G61" i="2"/>
  <c r="I61" i="2" s="1"/>
  <c r="H61" i="2" s="1"/>
  <c r="L61" i="2"/>
  <c r="D62" i="2"/>
  <c r="G62" i="2"/>
  <c r="I62" i="2"/>
  <c r="H62" i="2" s="1"/>
  <c r="L62" i="2"/>
  <c r="D63" i="2"/>
  <c r="G63" i="2"/>
  <c r="I63" i="2" s="1"/>
  <c r="H63" i="2"/>
  <c r="L63" i="2"/>
  <c r="D64" i="2"/>
  <c r="G64" i="2"/>
  <c r="I64" i="2"/>
  <c r="H64" i="2" s="1"/>
  <c r="L64" i="2"/>
  <c r="D65" i="2"/>
  <c r="G65" i="2"/>
  <c r="I65" i="2" s="1"/>
  <c r="H65" i="2"/>
  <c r="L65" i="2"/>
  <c r="D66" i="2"/>
  <c r="G66" i="2"/>
  <c r="I66" i="2" s="1"/>
  <c r="H66" i="2" s="1"/>
  <c r="L66" i="2"/>
  <c r="D67" i="2"/>
  <c r="G67" i="2"/>
  <c r="I67" i="2" s="1"/>
  <c r="H67" i="2" s="1"/>
  <c r="L67" i="2"/>
  <c r="D68" i="2"/>
  <c r="G68" i="2"/>
  <c r="I68" i="2"/>
  <c r="H68" i="2" s="1"/>
  <c r="L68" i="2"/>
  <c r="D69" i="2"/>
  <c r="F69" i="2" s="1"/>
  <c r="G69" i="2"/>
  <c r="I69" i="2" s="1"/>
  <c r="H69" i="2" s="1"/>
  <c r="L69" i="2"/>
  <c r="D70" i="2"/>
  <c r="G70" i="2"/>
  <c r="I70" i="2"/>
  <c r="H70" i="2" s="1"/>
  <c r="L70" i="2"/>
  <c r="D71" i="2"/>
  <c r="G71" i="2"/>
  <c r="I71" i="2" s="1"/>
  <c r="H71" i="2" s="1"/>
  <c r="L71" i="2"/>
  <c r="D72" i="2"/>
  <c r="G72" i="2"/>
  <c r="I72" i="2" s="1"/>
  <c r="H72" i="2" s="1"/>
  <c r="L72" i="2"/>
  <c r="D73" i="2"/>
  <c r="G73" i="2"/>
  <c r="I73" i="2" s="1"/>
  <c r="H73" i="2" s="1"/>
  <c r="L73" i="2"/>
  <c r="D74" i="2"/>
  <c r="G74" i="2"/>
  <c r="I74" i="2" s="1"/>
  <c r="H74" i="2" s="1"/>
  <c r="L74" i="2"/>
  <c r="D75" i="2"/>
  <c r="F75" i="2"/>
  <c r="G75" i="2"/>
  <c r="I75" i="2" s="1"/>
  <c r="H75" i="2" s="1"/>
  <c r="L75" i="2"/>
  <c r="D76" i="2"/>
  <c r="G76" i="2"/>
  <c r="I76" i="2" s="1"/>
  <c r="H76" i="2" s="1"/>
  <c r="L76" i="2"/>
  <c r="D77" i="2"/>
  <c r="G77" i="2"/>
  <c r="I77" i="2" s="1"/>
  <c r="H77" i="2" s="1"/>
  <c r="L77" i="2"/>
  <c r="D78" i="2"/>
  <c r="G78" i="2"/>
  <c r="I78" i="2"/>
  <c r="H78" i="2" s="1"/>
  <c r="L78" i="2"/>
  <c r="D79" i="2"/>
  <c r="G79" i="2"/>
  <c r="I79" i="2" s="1"/>
  <c r="H79" i="2"/>
  <c r="L79" i="2"/>
  <c r="D80" i="2"/>
  <c r="G80" i="2"/>
  <c r="I80" i="2"/>
  <c r="H80" i="2" s="1"/>
  <c r="L80" i="2"/>
  <c r="D81" i="2"/>
  <c r="G81" i="2"/>
  <c r="I81" i="2" s="1"/>
  <c r="H81" i="2"/>
  <c r="L81" i="2"/>
  <c r="D82" i="2"/>
  <c r="G82" i="2"/>
  <c r="I82" i="2" s="1"/>
  <c r="H82" i="2" s="1"/>
  <c r="L82" i="2"/>
  <c r="D83" i="2"/>
  <c r="F83" i="2"/>
  <c r="G83" i="2"/>
  <c r="I83" i="2" s="1"/>
  <c r="H83" i="2" s="1"/>
  <c r="L83" i="2"/>
  <c r="D84" i="2"/>
  <c r="G84" i="2"/>
  <c r="I84" i="2" s="1"/>
  <c r="H84" i="2" s="1"/>
  <c r="L84" i="2"/>
  <c r="D85" i="2"/>
  <c r="F85" i="2"/>
  <c r="G85" i="2"/>
  <c r="I85" i="2" s="1"/>
  <c r="H85" i="2" s="1"/>
  <c r="L85" i="2"/>
  <c r="D86" i="2"/>
  <c r="G86" i="2"/>
  <c r="I86" i="2" s="1"/>
  <c r="H86" i="2" s="1"/>
  <c r="L86" i="2"/>
  <c r="D87" i="2"/>
  <c r="G87" i="2"/>
  <c r="I87" i="2" s="1"/>
  <c r="H87" i="2" s="1"/>
  <c r="L87" i="2"/>
  <c r="D88" i="2"/>
  <c r="G88" i="2"/>
  <c r="I88" i="2" s="1"/>
  <c r="H88" i="2" s="1"/>
  <c r="L88" i="2"/>
  <c r="D89" i="2"/>
  <c r="G89" i="2"/>
  <c r="I89" i="2" s="1"/>
  <c r="H89" i="2" s="1"/>
  <c r="L89" i="2"/>
  <c r="D90" i="2"/>
  <c r="G90" i="2"/>
  <c r="I90" i="2" s="1"/>
  <c r="H90" i="2" s="1"/>
  <c r="L90" i="2"/>
  <c r="D91" i="2"/>
  <c r="G91" i="2"/>
  <c r="I91" i="2" s="1"/>
  <c r="H91" i="2" s="1"/>
  <c r="L91" i="2"/>
  <c r="D92" i="2"/>
  <c r="G92" i="2"/>
  <c r="I92" i="2" s="1"/>
  <c r="H92" i="2" s="1"/>
  <c r="L92" i="2"/>
  <c r="D93" i="2"/>
  <c r="G93" i="2"/>
  <c r="I93" i="2" s="1"/>
  <c r="H93" i="2" s="1"/>
  <c r="L93" i="2"/>
  <c r="D94" i="2"/>
  <c r="G94" i="2"/>
  <c r="I94" i="2"/>
  <c r="H94" i="2" s="1"/>
  <c r="L94" i="2"/>
  <c r="D95" i="2"/>
  <c r="G95" i="2"/>
  <c r="I95" i="2" s="1"/>
  <c r="H95" i="2"/>
  <c r="L95" i="2"/>
  <c r="D96" i="2"/>
  <c r="G96" i="2"/>
  <c r="I96" i="2"/>
  <c r="H96" i="2" s="1"/>
  <c r="L96" i="2"/>
  <c r="D97" i="2"/>
  <c r="G97" i="2"/>
  <c r="I97" i="2" s="1"/>
  <c r="H97" i="2"/>
  <c r="L97" i="2"/>
  <c r="D98" i="2"/>
  <c r="G98" i="2"/>
  <c r="I98" i="2" s="1"/>
  <c r="H98" i="2" s="1"/>
  <c r="L98" i="2"/>
  <c r="D99" i="2"/>
  <c r="G99" i="2"/>
  <c r="I99" i="2" s="1"/>
  <c r="H99" i="2" s="1"/>
  <c r="L99" i="2"/>
  <c r="D100" i="2"/>
  <c r="G100" i="2"/>
  <c r="I100" i="2" s="1"/>
  <c r="H100" i="2" s="1"/>
  <c r="L100" i="2"/>
  <c r="D101" i="2"/>
  <c r="F101" i="2"/>
  <c r="G101" i="2"/>
  <c r="I101" i="2" s="1"/>
  <c r="H101" i="2"/>
  <c r="L101" i="2"/>
  <c r="D102" i="2"/>
  <c r="G102" i="2"/>
  <c r="I102" i="2"/>
  <c r="H102" i="2" s="1"/>
  <c r="L102" i="2"/>
  <c r="D103" i="2"/>
  <c r="G103" i="2"/>
  <c r="I103" i="2" s="1"/>
  <c r="H103" i="2" s="1"/>
  <c r="L103" i="2"/>
  <c r="D104" i="2"/>
  <c r="G104" i="2"/>
  <c r="I104" i="2" s="1"/>
  <c r="H104" i="2" s="1"/>
  <c r="L104" i="2"/>
  <c r="D105" i="2"/>
  <c r="G105" i="2"/>
  <c r="I105" i="2" s="1"/>
  <c r="H105" i="2"/>
  <c r="L105" i="2"/>
  <c r="D106" i="2"/>
  <c r="G106" i="2"/>
  <c r="I106" i="2"/>
  <c r="H106" i="2" s="1"/>
  <c r="L106" i="2"/>
  <c r="D107" i="2"/>
  <c r="G107" i="2"/>
  <c r="I107" i="2" s="1"/>
  <c r="H107" i="2" s="1"/>
  <c r="L107" i="2"/>
  <c r="F107" i="2" s="1"/>
  <c r="D108" i="2"/>
  <c r="G108" i="2"/>
  <c r="I108" i="2"/>
  <c r="H108" i="2" s="1"/>
  <c r="L108" i="2"/>
  <c r="F108" i="2" s="1"/>
  <c r="D109" i="2"/>
  <c r="G109" i="2"/>
  <c r="I109" i="2" s="1"/>
  <c r="H109" i="2" s="1"/>
  <c r="L109" i="2"/>
  <c r="F109" i="2" s="1"/>
  <c r="D110" i="2"/>
  <c r="G110" i="2"/>
  <c r="I110" i="2" s="1"/>
  <c r="H110" i="2" s="1"/>
  <c r="L110" i="2"/>
  <c r="D111" i="2"/>
  <c r="G111" i="2"/>
  <c r="I111" i="2" s="1"/>
  <c r="H111" i="2" s="1"/>
  <c r="L111" i="2"/>
  <c r="D112" i="2"/>
  <c r="G112" i="2"/>
  <c r="I112" i="2" s="1"/>
  <c r="H112" i="2" s="1"/>
  <c r="L112" i="2"/>
  <c r="D113" i="2"/>
  <c r="F113" i="2"/>
  <c r="G113" i="2"/>
  <c r="I113" i="2" s="1"/>
  <c r="H113" i="2" s="1"/>
  <c r="L113" i="2"/>
  <c r="D114" i="2"/>
  <c r="G114" i="2"/>
  <c r="I114" i="2" s="1"/>
  <c r="H114" i="2" s="1"/>
  <c r="L114" i="2"/>
  <c r="D115" i="2"/>
  <c r="G115" i="2"/>
  <c r="I115" i="2" s="1"/>
  <c r="H115" i="2" s="1"/>
  <c r="L115" i="2"/>
  <c r="D116" i="2"/>
  <c r="G116" i="2"/>
  <c r="I116" i="2"/>
  <c r="H116" i="2" s="1"/>
  <c r="L116" i="2"/>
  <c r="D117" i="2"/>
  <c r="F117" i="2"/>
  <c r="G117" i="2"/>
  <c r="I117" i="2" s="1"/>
  <c r="H117" i="2" s="1"/>
  <c r="L117" i="2"/>
  <c r="D118" i="2"/>
  <c r="G118" i="2"/>
  <c r="I118" i="2" s="1"/>
  <c r="H118" i="2" s="1"/>
  <c r="L118" i="2"/>
  <c r="D119" i="2"/>
  <c r="G119" i="2"/>
  <c r="I119" i="2" s="1"/>
  <c r="H119" i="2" s="1"/>
  <c r="L119" i="2"/>
  <c r="D120" i="2"/>
  <c r="G120" i="2"/>
  <c r="I120" i="2"/>
  <c r="H120" i="2" s="1"/>
  <c r="L120" i="2"/>
  <c r="D121" i="2"/>
  <c r="F121" i="2"/>
  <c r="G121" i="2"/>
  <c r="I121" i="2" s="1"/>
  <c r="H121" i="2" s="1"/>
  <c r="L121" i="2"/>
  <c r="D122" i="2"/>
  <c r="G122" i="2"/>
  <c r="I122" i="2" s="1"/>
  <c r="H122" i="2" s="1"/>
  <c r="L122" i="2"/>
  <c r="D123" i="2"/>
  <c r="G123" i="2"/>
  <c r="I123" i="2" s="1"/>
  <c r="H123" i="2" s="1"/>
  <c r="L123" i="2"/>
  <c r="D124" i="2"/>
  <c r="G124" i="2"/>
  <c r="I124" i="2" s="1"/>
  <c r="H124" i="2" s="1"/>
  <c r="L124" i="2"/>
  <c r="D125" i="2"/>
  <c r="G125" i="2"/>
  <c r="I125" i="2" s="1"/>
  <c r="H125" i="2" s="1"/>
  <c r="L125" i="2"/>
  <c r="D126" i="2"/>
  <c r="G126" i="2"/>
  <c r="I126" i="2" s="1"/>
  <c r="H126" i="2" s="1"/>
  <c r="L126" i="2"/>
  <c r="D127" i="2"/>
  <c r="G127" i="2"/>
  <c r="I127" i="2"/>
  <c r="H127" i="2" s="1"/>
  <c r="L127" i="2"/>
  <c r="D128" i="2"/>
  <c r="G128" i="2"/>
  <c r="I128" i="2" s="1"/>
  <c r="H128" i="2" s="1"/>
  <c r="L128" i="2"/>
  <c r="D129" i="2"/>
  <c r="G129" i="2"/>
  <c r="I129" i="2" s="1"/>
  <c r="H129" i="2" s="1"/>
  <c r="L129" i="2"/>
  <c r="D130" i="2"/>
  <c r="G130" i="2"/>
  <c r="I130" i="2" s="1"/>
  <c r="H130" i="2" s="1"/>
  <c r="L130" i="2"/>
  <c r="D131" i="2"/>
  <c r="G131" i="2"/>
  <c r="I131" i="2" s="1"/>
  <c r="H131" i="2" s="1"/>
  <c r="L131" i="2"/>
  <c r="D132" i="2"/>
  <c r="G132" i="2"/>
  <c r="I132" i="2" s="1"/>
  <c r="H132" i="2" s="1"/>
  <c r="L132" i="2"/>
  <c r="D133" i="2"/>
  <c r="G133" i="2"/>
  <c r="I133" i="2" s="1"/>
  <c r="H133" i="2" s="1"/>
  <c r="L133" i="2"/>
  <c r="D134" i="2"/>
  <c r="G134" i="2"/>
  <c r="I134" i="2" s="1"/>
  <c r="H134" i="2" s="1"/>
  <c r="L134" i="2"/>
  <c r="D135" i="2"/>
  <c r="G135" i="2"/>
  <c r="I135" i="2"/>
  <c r="H135" i="2" s="1"/>
  <c r="L135" i="2"/>
  <c r="D136" i="2"/>
  <c r="G136" i="2"/>
  <c r="I136" i="2" s="1"/>
  <c r="H136" i="2" s="1"/>
  <c r="L136" i="2"/>
  <c r="D137" i="2"/>
  <c r="G137" i="2"/>
  <c r="I137" i="2" s="1"/>
  <c r="H137" i="2" s="1"/>
  <c r="L137" i="2"/>
  <c r="D138" i="2"/>
  <c r="G138" i="2"/>
  <c r="I138" i="2" s="1"/>
  <c r="H138" i="2" s="1"/>
  <c r="L138" i="2"/>
  <c r="D139" i="2"/>
  <c r="G139" i="2"/>
  <c r="I139" i="2" s="1"/>
  <c r="H139" i="2" s="1"/>
  <c r="L139" i="2"/>
  <c r="D140" i="2"/>
  <c r="G140" i="2"/>
  <c r="I140" i="2" s="1"/>
  <c r="H140" i="2" s="1"/>
  <c r="L140" i="2"/>
  <c r="D141" i="2"/>
  <c r="G141" i="2"/>
  <c r="I141" i="2" s="1"/>
  <c r="H141" i="2" s="1"/>
  <c r="L141" i="2"/>
  <c r="D142" i="2"/>
  <c r="G142" i="2"/>
  <c r="I142" i="2" s="1"/>
  <c r="H142" i="2" s="1"/>
  <c r="L142" i="2"/>
  <c r="D143" i="2"/>
  <c r="G143" i="2"/>
  <c r="I143" i="2"/>
  <c r="H143" i="2" s="1"/>
  <c r="L143" i="2"/>
  <c r="D144" i="2"/>
  <c r="G144" i="2"/>
  <c r="I144" i="2" s="1"/>
  <c r="H144" i="2" s="1"/>
  <c r="L144" i="2"/>
  <c r="D145" i="2"/>
  <c r="G145" i="2"/>
  <c r="I145" i="2" s="1"/>
  <c r="H145" i="2" s="1"/>
  <c r="L145" i="2"/>
  <c r="D146" i="2"/>
  <c r="G146" i="2"/>
  <c r="I146" i="2" s="1"/>
  <c r="H146" i="2" s="1"/>
  <c r="L146" i="2"/>
  <c r="D147" i="2"/>
  <c r="G147" i="2"/>
  <c r="I147" i="2"/>
  <c r="H147" i="2" s="1"/>
  <c r="L147" i="2"/>
  <c r="D148" i="2"/>
  <c r="G148" i="2"/>
  <c r="I148" i="2" s="1"/>
  <c r="H148" i="2" s="1"/>
  <c r="L148" i="2"/>
  <c r="D149" i="2"/>
  <c r="G149" i="2"/>
  <c r="I149" i="2" s="1"/>
  <c r="H149" i="2" s="1"/>
  <c r="L149" i="2"/>
  <c r="D150" i="2"/>
  <c r="G150" i="2"/>
  <c r="I150" i="2" s="1"/>
  <c r="H150" i="2" s="1"/>
  <c r="L150" i="2"/>
  <c r="D151" i="2"/>
  <c r="G151" i="2"/>
  <c r="I151" i="2" s="1"/>
  <c r="H151" i="2" s="1"/>
  <c r="L151" i="2"/>
  <c r="D152" i="2"/>
  <c r="G152" i="2"/>
  <c r="I152" i="2" s="1"/>
  <c r="H152" i="2" s="1"/>
  <c r="L152" i="2"/>
  <c r="D153" i="2"/>
  <c r="G153" i="2"/>
  <c r="I153" i="2" s="1"/>
  <c r="H153" i="2" s="1"/>
  <c r="L153" i="2"/>
  <c r="D154" i="2"/>
  <c r="G154" i="2"/>
  <c r="I154" i="2" s="1"/>
  <c r="H154" i="2" s="1"/>
  <c r="L154" i="2"/>
  <c r="D155" i="2"/>
  <c r="G155" i="2"/>
  <c r="I155" i="2" s="1"/>
  <c r="H155" i="2" s="1"/>
  <c r="L155" i="2"/>
  <c r="D156" i="2"/>
  <c r="G156" i="2"/>
  <c r="I156" i="2" s="1"/>
  <c r="H156" i="2" s="1"/>
  <c r="L156" i="2"/>
  <c r="D157" i="2"/>
  <c r="G157" i="2"/>
  <c r="I157" i="2" s="1"/>
  <c r="H157" i="2" s="1"/>
  <c r="L157" i="2"/>
  <c r="D158" i="2"/>
  <c r="G158" i="2"/>
  <c r="I158" i="2" s="1"/>
  <c r="H158" i="2" s="1"/>
  <c r="L158" i="2"/>
  <c r="D159" i="2"/>
  <c r="G159" i="2"/>
  <c r="I159" i="2"/>
  <c r="H159" i="2" s="1"/>
  <c r="L159" i="2"/>
  <c r="D160" i="2"/>
  <c r="G160" i="2"/>
  <c r="I160" i="2" s="1"/>
  <c r="H160" i="2" s="1"/>
  <c r="L160" i="2"/>
  <c r="D161" i="2"/>
  <c r="G161" i="2"/>
  <c r="I161" i="2" s="1"/>
  <c r="H161" i="2" s="1"/>
  <c r="L161" i="2"/>
  <c r="D162" i="2"/>
  <c r="G162" i="2"/>
  <c r="I162" i="2" s="1"/>
  <c r="H162" i="2" s="1"/>
  <c r="L162" i="2"/>
  <c r="D163" i="2"/>
  <c r="G163" i="2"/>
  <c r="I163" i="2"/>
  <c r="H163" i="2" s="1"/>
  <c r="L163" i="2"/>
  <c r="D164" i="2"/>
  <c r="G164" i="2"/>
  <c r="I164" i="2" s="1"/>
  <c r="H164" i="2" s="1"/>
  <c r="L164" i="2"/>
  <c r="D165" i="2"/>
  <c r="G165" i="2"/>
  <c r="I165" i="2" s="1"/>
  <c r="H165" i="2" s="1"/>
  <c r="L165" i="2"/>
  <c r="D166" i="2"/>
  <c r="G166" i="2"/>
  <c r="I166" i="2" s="1"/>
  <c r="H166" i="2" s="1"/>
  <c r="L166" i="2"/>
  <c r="D167" i="2"/>
  <c r="G167" i="2"/>
  <c r="I167" i="2"/>
  <c r="H167" i="2" s="1"/>
  <c r="L167" i="2"/>
  <c r="D168" i="2"/>
  <c r="G168" i="2"/>
  <c r="I168" i="2" s="1"/>
  <c r="H168" i="2" s="1"/>
  <c r="L168" i="2"/>
  <c r="D169" i="2"/>
  <c r="G169" i="2"/>
  <c r="I169" i="2" s="1"/>
  <c r="H169" i="2" s="1"/>
  <c r="L169" i="2"/>
  <c r="D170" i="2"/>
  <c r="G170" i="2"/>
  <c r="I170" i="2" s="1"/>
  <c r="H170" i="2" s="1"/>
  <c r="L170" i="2"/>
  <c r="D171" i="2"/>
  <c r="G171" i="2"/>
  <c r="I171" i="2" s="1"/>
  <c r="H171" i="2" s="1"/>
  <c r="L171" i="2"/>
  <c r="D172" i="2"/>
  <c r="G172" i="2"/>
  <c r="I172" i="2" s="1"/>
  <c r="H172" i="2" s="1"/>
  <c r="L172" i="2"/>
  <c r="D173" i="2"/>
  <c r="G173" i="2"/>
  <c r="I173" i="2" s="1"/>
  <c r="H173" i="2" s="1"/>
  <c r="L173" i="2"/>
  <c r="D174" i="2"/>
  <c r="G174" i="2"/>
  <c r="I174" i="2" s="1"/>
  <c r="H174" i="2" s="1"/>
  <c r="L174" i="2"/>
  <c r="D175" i="2"/>
  <c r="G175" i="2"/>
  <c r="I175" i="2" s="1"/>
  <c r="H175" i="2" s="1"/>
  <c r="L175" i="2"/>
  <c r="D176" i="2"/>
  <c r="G176" i="2"/>
  <c r="I176" i="2" s="1"/>
  <c r="H176" i="2" s="1"/>
  <c r="L176" i="2"/>
  <c r="D177" i="2"/>
  <c r="G177" i="2"/>
  <c r="I177" i="2" s="1"/>
  <c r="H177" i="2" s="1"/>
  <c r="L177" i="2"/>
  <c r="D178" i="2"/>
  <c r="G178" i="2"/>
  <c r="I178" i="2" s="1"/>
  <c r="H178" i="2" s="1"/>
  <c r="L178" i="2"/>
  <c r="D179" i="2"/>
  <c r="G179" i="2"/>
  <c r="I179" i="2"/>
  <c r="H179" i="2" s="1"/>
  <c r="L179" i="2"/>
  <c r="D180" i="2"/>
  <c r="G180" i="2"/>
  <c r="I180" i="2" s="1"/>
  <c r="H180" i="2" s="1"/>
  <c r="L180" i="2"/>
  <c r="D181" i="2"/>
  <c r="G181" i="2"/>
  <c r="I181" i="2" s="1"/>
  <c r="H181" i="2" s="1"/>
  <c r="L181" i="2"/>
  <c r="D182" i="2"/>
  <c r="G182" i="2"/>
  <c r="I182" i="2" s="1"/>
  <c r="H182" i="2" s="1"/>
  <c r="L182" i="2"/>
  <c r="D183" i="2"/>
  <c r="G183" i="2"/>
  <c r="I183" i="2"/>
  <c r="H183" i="2" s="1"/>
  <c r="L183" i="2"/>
  <c r="D184" i="2"/>
  <c r="G184" i="2"/>
  <c r="I184" i="2" s="1"/>
  <c r="H184" i="2" s="1"/>
  <c r="L184" i="2"/>
  <c r="D185" i="2"/>
  <c r="G185" i="2"/>
  <c r="I185" i="2" s="1"/>
  <c r="H185" i="2" s="1"/>
  <c r="L185" i="2"/>
  <c r="D186" i="2"/>
  <c r="G186" i="2"/>
  <c r="I186" i="2" s="1"/>
  <c r="H186" i="2" s="1"/>
  <c r="L186" i="2"/>
  <c r="D187" i="2"/>
  <c r="G187" i="2"/>
  <c r="I187" i="2" s="1"/>
  <c r="H187" i="2" s="1"/>
  <c r="L187" i="2"/>
  <c r="D188" i="2"/>
  <c r="G188" i="2"/>
  <c r="I188" i="2" s="1"/>
  <c r="H188" i="2" s="1"/>
  <c r="L188" i="2"/>
  <c r="D189" i="2"/>
  <c r="G189" i="2"/>
  <c r="I189" i="2" s="1"/>
  <c r="H189" i="2" s="1"/>
  <c r="L189" i="2"/>
  <c r="D190" i="2"/>
  <c r="G190" i="2"/>
  <c r="I190" i="2" s="1"/>
  <c r="H190" i="2" s="1"/>
  <c r="L190" i="2"/>
  <c r="D191" i="2"/>
  <c r="G191" i="2"/>
  <c r="I191" i="2"/>
  <c r="H191" i="2" s="1"/>
  <c r="L191" i="2"/>
  <c r="D192" i="2"/>
  <c r="G192" i="2"/>
  <c r="I192" i="2" s="1"/>
  <c r="H192" i="2" s="1"/>
  <c r="L192" i="2"/>
  <c r="D193" i="2"/>
  <c r="G193" i="2"/>
  <c r="I193" i="2" s="1"/>
  <c r="H193" i="2" s="1"/>
  <c r="L193" i="2"/>
  <c r="D194" i="2"/>
  <c r="G194" i="2"/>
  <c r="I194" i="2" s="1"/>
  <c r="H194" i="2" s="1"/>
  <c r="L194" i="2"/>
  <c r="D195" i="2"/>
  <c r="G195" i="2"/>
  <c r="I195" i="2" s="1"/>
  <c r="H195" i="2" s="1"/>
  <c r="L195" i="2"/>
  <c r="D196" i="2"/>
  <c r="G196" i="2"/>
  <c r="I196" i="2" s="1"/>
  <c r="H196" i="2" s="1"/>
  <c r="L196" i="2"/>
  <c r="D197" i="2"/>
  <c r="G197" i="2"/>
  <c r="I197" i="2" s="1"/>
  <c r="H197" i="2" s="1"/>
  <c r="L197" i="2"/>
  <c r="D198" i="2"/>
  <c r="G198" i="2"/>
  <c r="I198" i="2" s="1"/>
  <c r="H198" i="2" s="1"/>
  <c r="L198" i="2"/>
  <c r="D199" i="2"/>
  <c r="G199" i="2"/>
  <c r="I199" i="2"/>
  <c r="H199" i="2" s="1"/>
  <c r="L199" i="2"/>
  <c r="D200" i="2"/>
  <c r="G200" i="2"/>
  <c r="I200" i="2" s="1"/>
  <c r="H200" i="2" s="1"/>
  <c r="L200" i="2"/>
  <c r="D201" i="2"/>
  <c r="G201" i="2"/>
  <c r="I201" i="2" s="1"/>
  <c r="H201" i="2" s="1"/>
  <c r="L201" i="2"/>
  <c r="D202" i="2"/>
  <c r="G202" i="2"/>
  <c r="I202" i="2" s="1"/>
  <c r="H202" i="2" s="1"/>
  <c r="L202" i="2"/>
  <c r="D203" i="2"/>
  <c r="G203" i="2"/>
  <c r="I203" i="2" s="1"/>
  <c r="H203" i="2" s="1"/>
  <c r="L203" i="2"/>
  <c r="D204" i="2"/>
  <c r="G204" i="2"/>
  <c r="I204" i="2" s="1"/>
  <c r="H204" i="2" s="1"/>
  <c r="L204" i="2"/>
  <c r="D205" i="2"/>
  <c r="G205" i="2"/>
  <c r="I205" i="2" s="1"/>
  <c r="H205" i="2" s="1"/>
  <c r="L205" i="2"/>
  <c r="D206" i="2"/>
  <c r="G206" i="2"/>
  <c r="I206" i="2" s="1"/>
  <c r="H206" i="2" s="1"/>
  <c r="L206" i="2"/>
  <c r="D207" i="2"/>
  <c r="G207" i="2"/>
  <c r="I207" i="2"/>
  <c r="H207" i="2" s="1"/>
  <c r="L207" i="2"/>
  <c r="D208" i="2"/>
  <c r="G208" i="2"/>
  <c r="I208" i="2" s="1"/>
  <c r="H208" i="2" s="1"/>
  <c r="L208" i="2"/>
  <c r="D209" i="2"/>
  <c r="G209" i="2"/>
  <c r="I209" i="2" s="1"/>
  <c r="H209" i="2" s="1"/>
  <c r="L209" i="2"/>
  <c r="D210" i="2"/>
  <c r="G210" i="2"/>
  <c r="I210" i="2" s="1"/>
  <c r="H210" i="2" s="1"/>
  <c r="L210" i="2"/>
  <c r="D211" i="2"/>
  <c r="G211" i="2"/>
  <c r="I211" i="2"/>
  <c r="H211" i="2" s="1"/>
  <c r="L211" i="2"/>
  <c r="D212" i="2"/>
  <c r="G212" i="2"/>
  <c r="I212" i="2" s="1"/>
  <c r="H212" i="2" s="1"/>
  <c r="L212" i="2"/>
  <c r="D213" i="2"/>
  <c r="G213" i="2"/>
  <c r="I213" i="2" s="1"/>
  <c r="H213" i="2" s="1"/>
  <c r="L213" i="2"/>
  <c r="D214" i="2"/>
  <c r="G214" i="2"/>
  <c r="I214" i="2" s="1"/>
  <c r="H214" i="2" s="1"/>
  <c r="L214" i="2"/>
  <c r="D215" i="2"/>
  <c r="G215" i="2"/>
  <c r="I215" i="2" s="1"/>
  <c r="H215" i="2" s="1"/>
  <c r="L215" i="2"/>
  <c r="D216" i="2"/>
  <c r="G216" i="2"/>
  <c r="I216" i="2" s="1"/>
  <c r="H216" i="2" s="1"/>
  <c r="L216" i="2"/>
  <c r="D217" i="2"/>
  <c r="G217" i="2"/>
  <c r="I217" i="2" s="1"/>
  <c r="H217" i="2" s="1"/>
  <c r="L217" i="2"/>
  <c r="D218" i="2"/>
  <c r="G218" i="2"/>
  <c r="I218" i="2" s="1"/>
  <c r="H218" i="2" s="1"/>
  <c r="L218" i="2"/>
  <c r="D219" i="2"/>
  <c r="G219" i="2"/>
  <c r="I219" i="2" s="1"/>
  <c r="H219" i="2" s="1"/>
  <c r="L219" i="2"/>
  <c r="D220" i="2"/>
  <c r="G220" i="2"/>
  <c r="I220" i="2" s="1"/>
  <c r="H220" i="2" s="1"/>
  <c r="L220" i="2"/>
  <c r="D221" i="2"/>
  <c r="G221" i="2"/>
  <c r="I221" i="2" s="1"/>
  <c r="H221" i="2" s="1"/>
  <c r="L221" i="2"/>
  <c r="D222" i="2"/>
  <c r="G222" i="2"/>
  <c r="I222" i="2" s="1"/>
  <c r="H222" i="2" s="1"/>
  <c r="L222" i="2"/>
  <c r="D223" i="2"/>
  <c r="G223" i="2"/>
  <c r="I223" i="2"/>
  <c r="H223" i="2" s="1"/>
  <c r="L223" i="2"/>
  <c r="D224" i="2"/>
  <c r="G224" i="2"/>
  <c r="I224" i="2" s="1"/>
  <c r="H224" i="2" s="1"/>
  <c r="L224" i="2"/>
  <c r="D225" i="2"/>
  <c r="G225" i="2"/>
  <c r="I225" i="2" s="1"/>
  <c r="H225" i="2" s="1"/>
  <c r="L225" i="2"/>
  <c r="D226" i="2"/>
  <c r="G226" i="2"/>
  <c r="I226" i="2" s="1"/>
  <c r="H226" i="2" s="1"/>
  <c r="L226" i="2"/>
  <c r="D227" i="2"/>
  <c r="G227" i="2"/>
  <c r="I227" i="2"/>
  <c r="H227" i="2" s="1"/>
  <c r="L227" i="2"/>
  <c r="D228" i="2"/>
  <c r="G228" i="2"/>
  <c r="I228" i="2" s="1"/>
  <c r="H228" i="2" s="1"/>
  <c r="L228" i="2"/>
  <c r="D229" i="2"/>
  <c r="G229" i="2"/>
  <c r="I229" i="2" s="1"/>
  <c r="H229" i="2" s="1"/>
  <c r="L229" i="2"/>
  <c r="D230" i="2"/>
  <c r="G230" i="2"/>
  <c r="I230" i="2" s="1"/>
  <c r="H230" i="2" s="1"/>
  <c r="L230" i="2"/>
  <c r="D231" i="2"/>
  <c r="G231" i="2"/>
  <c r="I231" i="2"/>
  <c r="H231" i="2" s="1"/>
  <c r="L231" i="2"/>
  <c r="D232" i="2"/>
  <c r="G232" i="2"/>
  <c r="I232" i="2" s="1"/>
  <c r="H232" i="2" s="1"/>
  <c r="L232" i="2"/>
  <c r="D233" i="2"/>
  <c r="G233" i="2"/>
  <c r="I233" i="2" s="1"/>
  <c r="H233" i="2" s="1"/>
  <c r="L233" i="2"/>
  <c r="D234" i="2"/>
  <c r="G234" i="2"/>
  <c r="I234" i="2" s="1"/>
  <c r="H234" i="2" s="1"/>
  <c r="L234" i="2"/>
  <c r="D235" i="2"/>
  <c r="G235" i="2"/>
  <c r="I235" i="2" s="1"/>
  <c r="H235" i="2" s="1"/>
  <c r="L235" i="2"/>
  <c r="D236" i="2"/>
  <c r="G236" i="2"/>
  <c r="I236" i="2" s="1"/>
  <c r="H236" i="2" s="1"/>
  <c r="L236" i="2"/>
  <c r="D237" i="2"/>
  <c r="G237" i="2"/>
  <c r="I237" i="2" s="1"/>
  <c r="H237" i="2" s="1"/>
  <c r="L237" i="2"/>
  <c r="D238" i="2"/>
  <c r="G238" i="2"/>
  <c r="I238" i="2" s="1"/>
  <c r="H238" i="2" s="1"/>
  <c r="L238" i="2"/>
  <c r="D239" i="2"/>
  <c r="G239" i="2"/>
  <c r="I239" i="2" s="1"/>
  <c r="H239" i="2" s="1"/>
  <c r="L239" i="2"/>
  <c r="D240" i="2"/>
  <c r="G240" i="2"/>
  <c r="I240" i="2" s="1"/>
  <c r="H240" i="2" s="1"/>
  <c r="L240" i="2"/>
  <c r="D241" i="2"/>
  <c r="G241" i="2"/>
  <c r="I241" i="2" s="1"/>
  <c r="H241" i="2" s="1"/>
  <c r="L241" i="2"/>
  <c r="D242" i="2"/>
  <c r="G242" i="2"/>
  <c r="I242" i="2" s="1"/>
  <c r="H242" i="2" s="1"/>
  <c r="L242" i="2"/>
  <c r="D243" i="2"/>
  <c r="G243" i="2"/>
  <c r="I243" i="2"/>
  <c r="H243" i="2" s="1"/>
  <c r="L243" i="2"/>
  <c r="D244" i="2"/>
  <c r="G244" i="2"/>
  <c r="I244" i="2" s="1"/>
  <c r="H244" i="2" s="1"/>
  <c r="L244" i="2"/>
  <c r="D245" i="2"/>
  <c r="G245" i="2"/>
  <c r="I245" i="2" s="1"/>
  <c r="H245" i="2" s="1"/>
  <c r="L245" i="2"/>
  <c r="D246" i="2"/>
  <c r="G246" i="2"/>
  <c r="I246" i="2" s="1"/>
  <c r="H246" i="2" s="1"/>
  <c r="L246" i="2"/>
  <c r="D247" i="2"/>
  <c r="G247" i="2"/>
  <c r="I247" i="2"/>
  <c r="H247" i="2" s="1"/>
  <c r="L247" i="2"/>
  <c r="D248" i="2"/>
  <c r="G248" i="2"/>
  <c r="I248" i="2" s="1"/>
  <c r="H248" i="2" s="1"/>
  <c r="L248" i="2"/>
  <c r="D249" i="2"/>
  <c r="G249" i="2"/>
  <c r="I249" i="2" s="1"/>
  <c r="H249" i="2" s="1"/>
  <c r="L249" i="2"/>
  <c r="D250" i="2"/>
  <c r="G250" i="2"/>
  <c r="I250" i="2" s="1"/>
  <c r="H250" i="2" s="1"/>
  <c r="L250" i="2"/>
  <c r="D251" i="2"/>
  <c r="G251" i="2"/>
  <c r="I251" i="2" s="1"/>
  <c r="H251" i="2" s="1"/>
  <c r="L251" i="2"/>
  <c r="D252" i="2"/>
  <c r="G252" i="2"/>
  <c r="I252" i="2" s="1"/>
  <c r="H252" i="2" s="1"/>
  <c r="L252" i="2"/>
  <c r="D253" i="2"/>
  <c r="G253" i="2"/>
  <c r="I253" i="2" s="1"/>
  <c r="H253" i="2" s="1"/>
  <c r="L253" i="2"/>
  <c r="D254" i="2"/>
  <c r="G254" i="2"/>
  <c r="I254" i="2" s="1"/>
  <c r="H254" i="2" s="1"/>
  <c r="L254" i="2"/>
  <c r="D255" i="2"/>
  <c r="G255" i="2"/>
  <c r="I255" i="2"/>
  <c r="H255" i="2" s="1"/>
  <c r="L255" i="2"/>
  <c r="D256" i="2"/>
  <c r="G256" i="2"/>
  <c r="I256" i="2" s="1"/>
  <c r="H256" i="2" s="1"/>
  <c r="L256" i="2"/>
  <c r="D257" i="2"/>
  <c r="G257" i="2"/>
  <c r="I257" i="2" s="1"/>
  <c r="H257" i="2" s="1"/>
  <c r="L257" i="2"/>
  <c r="D258" i="2"/>
  <c r="G258" i="2"/>
  <c r="I258" i="2" s="1"/>
  <c r="H258" i="2" s="1"/>
  <c r="L258" i="2"/>
  <c r="D259" i="2"/>
  <c r="G259" i="2"/>
  <c r="I259" i="2" s="1"/>
  <c r="H259" i="2" s="1"/>
  <c r="L259" i="2"/>
  <c r="D260" i="2"/>
  <c r="G260" i="2"/>
  <c r="I260" i="2" s="1"/>
  <c r="H260" i="2" s="1"/>
  <c r="L260" i="2"/>
  <c r="D261" i="2"/>
  <c r="G261" i="2"/>
  <c r="I261" i="2" s="1"/>
  <c r="H261" i="2" s="1"/>
  <c r="L261" i="2"/>
  <c r="D262" i="2"/>
  <c r="G262" i="2"/>
  <c r="I262" i="2" s="1"/>
  <c r="H262" i="2" s="1"/>
  <c r="L262" i="2"/>
  <c r="D263" i="2"/>
  <c r="G263" i="2"/>
  <c r="I263" i="2"/>
  <c r="H263" i="2" s="1"/>
  <c r="L263" i="2"/>
  <c r="D264" i="2"/>
  <c r="G264" i="2"/>
  <c r="I264" i="2" s="1"/>
  <c r="H264" i="2" s="1"/>
  <c r="L264" i="2"/>
  <c r="D265" i="2"/>
  <c r="G265" i="2"/>
  <c r="I265" i="2" s="1"/>
  <c r="H265" i="2" s="1"/>
  <c r="L265" i="2"/>
  <c r="D266" i="2"/>
  <c r="G266" i="2"/>
  <c r="I266" i="2" s="1"/>
  <c r="H266" i="2" s="1"/>
  <c r="L266" i="2"/>
  <c r="D267" i="2"/>
  <c r="G267" i="2"/>
  <c r="I267" i="2" s="1"/>
  <c r="H267" i="2" s="1"/>
  <c r="L267" i="2"/>
  <c r="D268" i="2"/>
  <c r="G268" i="2"/>
  <c r="I268" i="2" s="1"/>
  <c r="H268" i="2" s="1"/>
  <c r="L268" i="2"/>
  <c r="D269" i="2"/>
  <c r="G269" i="2"/>
  <c r="I269" i="2" s="1"/>
  <c r="H269" i="2" s="1"/>
  <c r="L269" i="2"/>
  <c r="D270" i="2"/>
  <c r="G270" i="2"/>
  <c r="I270" i="2" s="1"/>
  <c r="H270" i="2" s="1"/>
  <c r="L270" i="2"/>
  <c r="D271" i="2"/>
  <c r="G271" i="2"/>
  <c r="I271" i="2"/>
  <c r="H271" i="2" s="1"/>
  <c r="L271" i="2"/>
  <c r="D272" i="2"/>
  <c r="G272" i="2"/>
  <c r="I272" i="2" s="1"/>
  <c r="H272" i="2" s="1"/>
  <c r="L272" i="2"/>
  <c r="D273" i="2"/>
  <c r="G273" i="2"/>
  <c r="I273" i="2" s="1"/>
  <c r="H273" i="2" s="1"/>
  <c r="L273" i="2"/>
  <c r="D274" i="2"/>
  <c r="G274" i="2"/>
  <c r="I274" i="2" s="1"/>
  <c r="H274" i="2" s="1"/>
  <c r="L274" i="2"/>
  <c r="D275" i="2"/>
  <c r="G275" i="2"/>
  <c r="I275" i="2"/>
  <c r="H275" i="2" s="1"/>
  <c r="L275" i="2"/>
  <c r="D276" i="2"/>
  <c r="G276" i="2"/>
  <c r="I276" i="2" s="1"/>
  <c r="H276" i="2" s="1"/>
  <c r="L276" i="2"/>
  <c r="D277" i="2"/>
  <c r="G277" i="2"/>
  <c r="I277" i="2" s="1"/>
  <c r="H277" i="2" s="1"/>
  <c r="L277" i="2"/>
  <c r="D278" i="2"/>
  <c r="G278" i="2"/>
  <c r="I278" i="2" s="1"/>
  <c r="H278" i="2" s="1"/>
  <c r="L278" i="2"/>
  <c r="D279" i="2"/>
  <c r="G279" i="2"/>
  <c r="I279" i="2" s="1"/>
  <c r="H279" i="2" s="1"/>
  <c r="L279" i="2"/>
  <c r="D280" i="2"/>
  <c r="G280" i="2"/>
  <c r="I280" i="2" s="1"/>
  <c r="H280" i="2" s="1"/>
  <c r="L280" i="2"/>
  <c r="D281" i="2"/>
  <c r="G281" i="2"/>
  <c r="I281" i="2" s="1"/>
  <c r="H281" i="2" s="1"/>
  <c r="L281" i="2"/>
  <c r="D282" i="2"/>
  <c r="G282" i="2"/>
  <c r="I282" i="2" s="1"/>
  <c r="H282" i="2" s="1"/>
  <c r="L282" i="2"/>
  <c r="D283" i="2"/>
  <c r="G283" i="2"/>
  <c r="I283" i="2" s="1"/>
  <c r="H283" i="2" s="1"/>
  <c r="L283" i="2"/>
  <c r="D284" i="2"/>
  <c r="G284" i="2"/>
  <c r="I284" i="2" s="1"/>
  <c r="H284" i="2" s="1"/>
  <c r="L284" i="2"/>
  <c r="D285" i="2"/>
  <c r="G285" i="2"/>
  <c r="I285" i="2" s="1"/>
  <c r="H285" i="2" s="1"/>
  <c r="L285" i="2"/>
  <c r="D286" i="2"/>
  <c r="G286" i="2"/>
  <c r="I286" i="2" s="1"/>
  <c r="H286" i="2" s="1"/>
  <c r="L286" i="2"/>
  <c r="D287" i="2"/>
  <c r="G287" i="2"/>
  <c r="I287" i="2"/>
  <c r="H287" i="2" s="1"/>
  <c r="L287" i="2"/>
  <c r="D288" i="2"/>
  <c r="G288" i="2"/>
  <c r="I288" i="2" s="1"/>
  <c r="H288" i="2" s="1"/>
  <c r="L288" i="2"/>
  <c r="D289" i="2"/>
  <c r="G289" i="2"/>
  <c r="I289" i="2" s="1"/>
  <c r="H289" i="2" s="1"/>
  <c r="L289" i="2"/>
  <c r="D290" i="2"/>
  <c r="G290" i="2"/>
  <c r="I290" i="2" s="1"/>
  <c r="H290" i="2" s="1"/>
  <c r="L290" i="2"/>
  <c r="D291" i="2"/>
  <c r="G291" i="2"/>
  <c r="I291" i="2"/>
  <c r="H291" i="2" s="1"/>
  <c r="L291" i="2"/>
  <c r="D292" i="2"/>
  <c r="G292" i="2"/>
  <c r="I292" i="2" s="1"/>
  <c r="H292" i="2" s="1"/>
  <c r="L292" i="2"/>
  <c r="D293" i="2"/>
  <c r="G293" i="2"/>
  <c r="I293" i="2" s="1"/>
  <c r="H293" i="2" s="1"/>
  <c r="L293" i="2"/>
  <c r="D294" i="2"/>
  <c r="G294" i="2"/>
  <c r="I294" i="2" s="1"/>
  <c r="H294" i="2" s="1"/>
  <c r="L294" i="2"/>
  <c r="D295" i="2"/>
  <c r="G295" i="2"/>
  <c r="I295" i="2"/>
  <c r="H295" i="2" s="1"/>
  <c r="L295" i="2"/>
  <c r="D296" i="2"/>
  <c r="G296" i="2"/>
  <c r="I296" i="2" s="1"/>
  <c r="H296" i="2" s="1"/>
  <c r="L296" i="2"/>
  <c r="D297" i="2"/>
  <c r="G297" i="2"/>
  <c r="I297" i="2" s="1"/>
  <c r="H297" i="2" s="1"/>
  <c r="L297" i="2"/>
  <c r="D298" i="2"/>
  <c r="G298" i="2"/>
  <c r="I298" i="2" s="1"/>
  <c r="H298" i="2" s="1"/>
  <c r="L298" i="2"/>
  <c r="D299" i="2"/>
  <c r="G299" i="2"/>
  <c r="I299" i="2" s="1"/>
  <c r="H299" i="2" s="1"/>
  <c r="L299" i="2"/>
  <c r="D300" i="2"/>
  <c r="G300" i="2"/>
  <c r="I300" i="2" s="1"/>
  <c r="H300" i="2" s="1"/>
  <c r="L300" i="2"/>
  <c r="D301" i="2"/>
  <c r="G301" i="2"/>
  <c r="I301" i="2" s="1"/>
  <c r="H301" i="2" s="1"/>
  <c r="L301" i="2"/>
  <c r="D302" i="2"/>
  <c r="G302" i="2"/>
  <c r="I302" i="2" s="1"/>
  <c r="H302" i="2" s="1"/>
  <c r="L302" i="2"/>
  <c r="D303" i="2"/>
  <c r="G303" i="2"/>
  <c r="I303" i="2" s="1"/>
  <c r="H303" i="2" s="1"/>
  <c r="L303" i="2"/>
  <c r="D304" i="2"/>
  <c r="G304" i="2"/>
  <c r="I304" i="2" s="1"/>
  <c r="H304" i="2" s="1"/>
  <c r="L304" i="2"/>
  <c r="D305" i="2"/>
  <c r="G305" i="2"/>
  <c r="I305" i="2" s="1"/>
  <c r="H305" i="2" s="1"/>
  <c r="L305" i="2"/>
  <c r="D306" i="2"/>
  <c r="G306" i="2"/>
  <c r="I306" i="2" s="1"/>
  <c r="H306" i="2" s="1"/>
  <c r="L306" i="2"/>
  <c r="D307" i="2"/>
  <c r="G307" i="2"/>
  <c r="I307" i="2"/>
  <c r="H307" i="2" s="1"/>
  <c r="L307" i="2"/>
  <c r="D308" i="2"/>
  <c r="G308" i="2"/>
  <c r="I308" i="2" s="1"/>
  <c r="H308" i="2" s="1"/>
  <c r="L308" i="2"/>
  <c r="D309" i="2"/>
  <c r="G309" i="2"/>
  <c r="I309" i="2" s="1"/>
  <c r="H309" i="2" s="1"/>
  <c r="L309" i="2"/>
  <c r="D310" i="2"/>
  <c r="G310" i="2"/>
  <c r="I310" i="2" s="1"/>
  <c r="H310" i="2" s="1"/>
  <c r="L310" i="2"/>
  <c r="D311" i="2"/>
  <c r="G311" i="2"/>
  <c r="I311" i="2"/>
  <c r="H311" i="2" s="1"/>
  <c r="L311" i="2"/>
  <c r="D312" i="2"/>
  <c r="G312" i="2"/>
  <c r="I312" i="2" s="1"/>
  <c r="H312" i="2" s="1"/>
  <c r="L312" i="2"/>
  <c r="D313" i="2"/>
  <c r="G313" i="2"/>
  <c r="I313" i="2" s="1"/>
  <c r="H313" i="2" s="1"/>
  <c r="L313" i="2"/>
  <c r="D314" i="2"/>
  <c r="G314" i="2"/>
  <c r="I314" i="2" s="1"/>
  <c r="H314" i="2" s="1"/>
  <c r="L314" i="2"/>
  <c r="D315" i="2"/>
  <c r="G315" i="2"/>
  <c r="I315" i="2" s="1"/>
  <c r="H315" i="2" s="1"/>
  <c r="L315" i="2"/>
  <c r="D316" i="2"/>
  <c r="G316" i="2"/>
  <c r="I316" i="2" s="1"/>
  <c r="H316" i="2" s="1"/>
  <c r="L316" i="2"/>
  <c r="D317" i="2"/>
  <c r="G317" i="2"/>
  <c r="I317" i="2" s="1"/>
  <c r="H317" i="2" s="1"/>
  <c r="L317" i="2"/>
  <c r="D318" i="2"/>
  <c r="G318" i="2"/>
  <c r="I318" i="2" s="1"/>
  <c r="H318" i="2" s="1"/>
  <c r="L318" i="2"/>
  <c r="D319" i="2"/>
  <c r="G319" i="2"/>
  <c r="I319" i="2"/>
  <c r="H319" i="2" s="1"/>
  <c r="L319" i="2"/>
  <c r="D320" i="2"/>
  <c r="G320" i="2"/>
  <c r="I320" i="2" s="1"/>
  <c r="H320" i="2" s="1"/>
  <c r="L320" i="2"/>
  <c r="D321" i="2"/>
  <c r="G321" i="2"/>
  <c r="I321" i="2" s="1"/>
  <c r="H321" i="2" s="1"/>
  <c r="L321" i="2"/>
  <c r="D322" i="2"/>
  <c r="G322" i="2"/>
  <c r="I322" i="2" s="1"/>
  <c r="H322" i="2" s="1"/>
  <c r="L322" i="2"/>
  <c r="D323" i="2"/>
  <c r="G323" i="2"/>
  <c r="I323" i="2" s="1"/>
  <c r="H323" i="2" s="1"/>
  <c r="L323" i="2"/>
  <c r="D324" i="2"/>
  <c r="G324" i="2"/>
  <c r="I324" i="2" s="1"/>
  <c r="H324" i="2" s="1"/>
  <c r="L324" i="2"/>
  <c r="D325" i="2"/>
  <c r="G325" i="2"/>
  <c r="I325" i="2" s="1"/>
  <c r="H325" i="2" s="1"/>
  <c r="L325" i="2"/>
  <c r="D326" i="2"/>
  <c r="G326" i="2"/>
  <c r="I326" i="2" s="1"/>
  <c r="H326" i="2" s="1"/>
  <c r="L326" i="2"/>
  <c r="D327" i="2"/>
  <c r="G327" i="2"/>
  <c r="I327" i="2" s="1"/>
  <c r="H327" i="2" s="1"/>
  <c r="L327" i="2"/>
  <c r="D328" i="2"/>
  <c r="G328" i="2"/>
  <c r="I328" i="2" s="1"/>
  <c r="H328" i="2" s="1"/>
  <c r="L328" i="2"/>
  <c r="D329" i="2"/>
  <c r="G329" i="2"/>
  <c r="I329" i="2" s="1"/>
  <c r="H329" i="2" s="1"/>
  <c r="L329" i="2"/>
  <c r="D330" i="2"/>
  <c r="G330" i="2"/>
  <c r="I330" i="2" s="1"/>
  <c r="H330" i="2" s="1"/>
  <c r="L330" i="2"/>
  <c r="D331" i="2"/>
  <c r="G331" i="2"/>
  <c r="I331" i="2" s="1"/>
  <c r="H331" i="2" s="1"/>
  <c r="L331" i="2"/>
  <c r="D332" i="2"/>
  <c r="G332" i="2"/>
  <c r="I332" i="2" s="1"/>
  <c r="H332" i="2" s="1"/>
  <c r="L332" i="2"/>
  <c r="D333" i="2"/>
  <c r="G333" i="2"/>
  <c r="I333" i="2" s="1"/>
  <c r="H333" i="2" s="1"/>
  <c r="L333" i="2"/>
  <c r="D334" i="2"/>
  <c r="G334" i="2"/>
  <c r="I334" i="2" s="1"/>
  <c r="H334" i="2" s="1"/>
  <c r="L334" i="2"/>
  <c r="D335" i="2"/>
  <c r="G335" i="2"/>
  <c r="I335" i="2"/>
  <c r="H335" i="2" s="1"/>
  <c r="L335" i="2"/>
  <c r="D336" i="2"/>
  <c r="G336" i="2"/>
  <c r="I336" i="2" s="1"/>
  <c r="H336" i="2" s="1"/>
  <c r="L336" i="2"/>
  <c r="D337" i="2"/>
  <c r="G337" i="2"/>
  <c r="I337" i="2" s="1"/>
  <c r="H337" i="2" s="1"/>
  <c r="L337" i="2"/>
  <c r="D338" i="2"/>
  <c r="G338" i="2"/>
  <c r="I338" i="2" s="1"/>
  <c r="H338" i="2" s="1"/>
  <c r="L338" i="2"/>
  <c r="D339" i="2"/>
  <c r="G339" i="2"/>
  <c r="I339" i="2"/>
  <c r="H339" i="2" s="1"/>
  <c r="L339" i="2"/>
  <c r="D340" i="2"/>
  <c r="G340" i="2"/>
  <c r="I340" i="2" s="1"/>
  <c r="H340" i="2" s="1"/>
  <c r="L340" i="2"/>
  <c r="D341" i="2"/>
  <c r="G341" i="2"/>
  <c r="I341" i="2" s="1"/>
  <c r="H341" i="2" s="1"/>
  <c r="L341" i="2"/>
  <c r="D342" i="2"/>
  <c r="G342" i="2"/>
  <c r="I342" i="2" s="1"/>
  <c r="H342" i="2" s="1"/>
  <c r="L342" i="2"/>
  <c r="D343" i="2"/>
  <c r="G343" i="2"/>
  <c r="I343" i="2"/>
  <c r="H343" i="2" s="1"/>
  <c r="L343" i="2"/>
  <c r="D344" i="2"/>
  <c r="G344" i="2"/>
  <c r="I344" i="2" s="1"/>
  <c r="H344" i="2" s="1"/>
  <c r="L344" i="2"/>
  <c r="D345" i="2"/>
  <c r="G345" i="2"/>
  <c r="I345" i="2" s="1"/>
  <c r="H345" i="2" s="1"/>
  <c r="L345" i="2"/>
  <c r="D346" i="2"/>
  <c r="G346" i="2"/>
  <c r="I346" i="2" s="1"/>
  <c r="H346" i="2" s="1"/>
  <c r="L346" i="2"/>
  <c r="D347" i="2"/>
  <c r="G347" i="2"/>
  <c r="I347" i="2" s="1"/>
  <c r="H347" i="2" s="1"/>
  <c r="L347" i="2"/>
  <c r="D348" i="2"/>
  <c r="G348" i="2"/>
  <c r="I348" i="2" s="1"/>
  <c r="H348" i="2" s="1"/>
  <c r="L348" i="2"/>
  <c r="D349" i="2"/>
  <c r="G349" i="2"/>
  <c r="I349" i="2" s="1"/>
  <c r="H349" i="2" s="1"/>
  <c r="L349" i="2"/>
  <c r="D350" i="2"/>
  <c r="G350" i="2"/>
  <c r="I350" i="2" s="1"/>
  <c r="H350" i="2" s="1"/>
  <c r="L350" i="2"/>
  <c r="D351" i="2"/>
  <c r="G351" i="2"/>
  <c r="I351" i="2" s="1"/>
  <c r="H351" i="2" s="1"/>
  <c r="L351" i="2"/>
  <c r="D352" i="2"/>
  <c r="G352" i="2"/>
  <c r="I352" i="2" s="1"/>
  <c r="H352" i="2" s="1"/>
  <c r="L352" i="2"/>
  <c r="D353" i="2"/>
  <c r="G353" i="2"/>
  <c r="I353" i="2" s="1"/>
  <c r="H353" i="2" s="1"/>
  <c r="L353" i="2"/>
  <c r="D354" i="2"/>
  <c r="G354" i="2"/>
  <c r="I354" i="2" s="1"/>
  <c r="H354" i="2" s="1"/>
  <c r="L354" i="2"/>
  <c r="D355" i="2"/>
  <c r="G355" i="2"/>
  <c r="I355" i="2"/>
  <c r="H355" i="2" s="1"/>
  <c r="L355" i="2"/>
  <c r="D356" i="2"/>
  <c r="G356" i="2"/>
  <c r="I356" i="2" s="1"/>
  <c r="H356" i="2" s="1"/>
  <c r="L356" i="2"/>
  <c r="D357" i="2"/>
  <c r="G357" i="2"/>
  <c r="I357" i="2" s="1"/>
  <c r="H357" i="2" s="1"/>
  <c r="L357" i="2"/>
  <c r="D358" i="2"/>
  <c r="G358" i="2"/>
  <c r="I358" i="2" s="1"/>
  <c r="H358" i="2" s="1"/>
  <c r="L358" i="2"/>
  <c r="D359" i="2"/>
  <c r="G359" i="2"/>
  <c r="I359" i="2" s="1"/>
  <c r="H359" i="2" s="1"/>
  <c r="L359" i="2"/>
  <c r="D360" i="2"/>
  <c r="G360" i="2"/>
  <c r="I360" i="2" s="1"/>
  <c r="H360" i="2" s="1"/>
  <c r="L360" i="2"/>
  <c r="D361" i="2"/>
  <c r="G361" i="2"/>
  <c r="I361" i="2" s="1"/>
  <c r="H361" i="2" s="1"/>
  <c r="L361" i="2"/>
  <c r="D362" i="2"/>
  <c r="G362" i="2"/>
  <c r="I362" i="2" s="1"/>
  <c r="H362" i="2" s="1"/>
  <c r="L362" i="2"/>
  <c r="D363" i="2"/>
  <c r="G363" i="2"/>
  <c r="I363" i="2" s="1"/>
  <c r="H363" i="2" s="1"/>
  <c r="L363" i="2"/>
  <c r="D364" i="2"/>
  <c r="G364" i="2"/>
  <c r="I364" i="2" s="1"/>
  <c r="H364" i="2" s="1"/>
  <c r="L364" i="2"/>
  <c r="D365" i="2"/>
  <c r="G365" i="2"/>
  <c r="I365" i="2" s="1"/>
  <c r="H365" i="2" s="1"/>
  <c r="L365" i="2"/>
  <c r="D366" i="2"/>
  <c r="G366" i="2"/>
  <c r="I366" i="2" s="1"/>
  <c r="H366" i="2" s="1"/>
  <c r="L366" i="2"/>
  <c r="D367" i="2"/>
  <c r="G367" i="2"/>
  <c r="I367" i="2"/>
  <c r="H367" i="2" s="1"/>
  <c r="L367" i="2"/>
  <c r="D368" i="2"/>
  <c r="G368" i="2"/>
  <c r="I368" i="2" s="1"/>
  <c r="H368" i="2" s="1"/>
  <c r="L368" i="2"/>
  <c r="D369" i="2"/>
  <c r="G369" i="2"/>
  <c r="I369" i="2" s="1"/>
  <c r="H369" i="2" s="1"/>
  <c r="L369" i="2"/>
  <c r="D370" i="2"/>
  <c r="G370" i="2"/>
  <c r="I370" i="2" s="1"/>
  <c r="H370" i="2" s="1"/>
  <c r="L370" i="2"/>
  <c r="D371" i="2"/>
  <c r="G371" i="2"/>
  <c r="I371" i="2"/>
  <c r="H371" i="2" s="1"/>
  <c r="L371" i="2"/>
  <c r="D372" i="2"/>
  <c r="G372" i="2"/>
  <c r="I372" i="2" s="1"/>
  <c r="H372" i="2" s="1"/>
  <c r="L372" i="2"/>
  <c r="D373" i="2"/>
  <c r="G373" i="2"/>
  <c r="I373" i="2" s="1"/>
  <c r="H373" i="2" s="1"/>
  <c r="L373" i="2"/>
  <c r="D374" i="2"/>
  <c r="G374" i="2"/>
  <c r="I374" i="2" s="1"/>
  <c r="H374" i="2" s="1"/>
  <c r="L374" i="2"/>
  <c r="D375" i="2"/>
  <c r="G375" i="2"/>
  <c r="I375" i="2" s="1"/>
  <c r="H375" i="2" s="1"/>
  <c r="L375" i="2"/>
  <c r="D376" i="2"/>
  <c r="G376" i="2"/>
  <c r="I376" i="2" s="1"/>
  <c r="H376" i="2" s="1"/>
  <c r="L376" i="2"/>
  <c r="D377" i="2"/>
  <c r="G377" i="2"/>
  <c r="I377" i="2" s="1"/>
  <c r="H377" i="2" s="1"/>
  <c r="L377" i="2"/>
  <c r="D378" i="2"/>
  <c r="G378" i="2"/>
  <c r="I378" i="2" s="1"/>
  <c r="H378" i="2" s="1"/>
  <c r="L378" i="2"/>
  <c r="D379" i="2"/>
  <c r="G379" i="2"/>
  <c r="I379" i="2" s="1"/>
  <c r="H379" i="2" s="1"/>
  <c r="L379" i="2"/>
  <c r="D380" i="2"/>
  <c r="G380" i="2"/>
  <c r="I380" i="2" s="1"/>
  <c r="H380" i="2" s="1"/>
  <c r="L380" i="2"/>
  <c r="D381" i="2"/>
  <c r="G381" i="2"/>
  <c r="I381" i="2" s="1"/>
  <c r="H381" i="2" s="1"/>
  <c r="L381" i="2"/>
  <c r="D382" i="2"/>
  <c r="G382" i="2"/>
  <c r="I382" i="2" s="1"/>
  <c r="H382" i="2" s="1"/>
  <c r="L382" i="2"/>
  <c r="D383" i="2"/>
  <c r="G383" i="2"/>
  <c r="I383" i="2"/>
  <c r="H383" i="2" s="1"/>
  <c r="L383" i="2"/>
  <c r="D384" i="2"/>
  <c r="G384" i="2"/>
  <c r="I384" i="2" s="1"/>
  <c r="H384" i="2" s="1"/>
  <c r="L384" i="2"/>
  <c r="D385" i="2"/>
  <c r="G385" i="2"/>
  <c r="I385" i="2" s="1"/>
  <c r="H385" i="2" s="1"/>
  <c r="L385" i="2"/>
  <c r="D386" i="2"/>
  <c r="G386" i="2"/>
  <c r="I386" i="2" s="1"/>
  <c r="H386" i="2" s="1"/>
  <c r="L386" i="2"/>
  <c r="D387" i="2"/>
  <c r="G387" i="2"/>
  <c r="I387" i="2"/>
  <c r="H387" i="2" s="1"/>
  <c r="L387" i="2"/>
  <c r="D388" i="2"/>
  <c r="G388" i="2"/>
  <c r="I388" i="2" s="1"/>
  <c r="H388" i="2" s="1"/>
  <c r="L388" i="2"/>
  <c r="D389" i="2"/>
  <c r="G389" i="2"/>
  <c r="I389" i="2" s="1"/>
  <c r="H389" i="2" s="1"/>
  <c r="L389" i="2"/>
  <c r="D390" i="2"/>
  <c r="G390" i="2"/>
  <c r="I390" i="2" s="1"/>
  <c r="H390" i="2" s="1"/>
  <c r="L390" i="2"/>
  <c r="D391" i="2"/>
  <c r="G391" i="2"/>
  <c r="I391" i="2" s="1"/>
  <c r="H391" i="2" s="1"/>
  <c r="L391" i="2"/>
  <c r="D392" i="2"/>
  <c r="G392" i="2"/>
  <c r="I392" i="2" s="1"/>
  <c r="H392" i="2" s="1"/>
  <c r="L392" i="2"/>
  <c r="D393" i="2"/>
  <c r="G393" i="2"/>
  <c r="I393" i="2" s="1"/>
  <c r="H393" i="2" s="1"/>
  <c r="L393" i="2"/>
  <c r="D394" i="2"/>
  <c r="G394" i="2"/>
  <c r="I394" i="2" s="1"/>
  <c r="H394" i="2" s="1"/>
  <c r="L394" i="2"/>
  <c r="D395" i="2"/>
  <c r="G395" i="2"/>
  <c r="I395" i="2" s="1"/>
  <c r="H395" i="2" s="1"/>
  <c r="L395" i="2"/>
  <c r="D396" i="2"/>
  <c r="G396" i="2"/>
  <c r="I396" i="2" s="1"/>
  <c r="H396" i="2" s="1"/>
  <c r="L396" i="2"/>
  <c r="D397" i="2"/>
  <c r="G397" i="2"/>
  <c r="I397" i="2" s="1"/>
  <c r="H397" i="2" s="1"/>
  <c r="L397" i="2"/>
  <c r="D398" i="2"/>
  <c r="G398" i="2"/>
  <c r="I398" i="2" s="1"/>
  <c r="H398" i="2" s="1"/>
  <c r="L398" i="2"/>
  <c r="D399" i="2"/>
  <c r="G399" i="2"/>
  <c r="I399" i="2"/>
  <c r="H399" i="2" s="1"/>
  <c r="L399" i="2"/>
  <c r="D400" i="2"/>
  <c r="G400" i="2"/>
  <c r="I400" i="2" s="1"/>
  <c r="H400" i="2" s="1"/>
  <c r="L400" i="2"/>
  <c r="D401" i="2"/>
  <c r="G401" i="2"/>
  <c r="I401" i="2" s="1"/>
  <c r="H401" i="2" s="1"/>
  <c r="L401" i="2"/>
  <c r="D402" i="2"/>
  <c r="G402" i="2"/>
  <c r="I402" i="2" s="1"/>
  <c r="H402" i="2" s="1"/>
  <c r="L402" i="2"/>
  <c r="D403" i="2"/>
  <c r="G403" i="2"/>
  <c r="I403" i="2" s="1"/>
  <c r="H403" i="2" s="1"/>
  <c r="L403" i="2"/>
  <c r="D404" i="2"/>
  <c r="G404" i="2"/>
  <c r="I404" i="2" s="1"/>
  <c r="H404" i="2" s="1"/>
  <c r="L404" i="2"/>
  <c r="D405" i="2"/>
  <c r="G405" i="2"/>
  <c r="I405" i="2" s="1"/>
  <c r="H405" i="2" s="1"/>
  <c r="L405" i="2"/>
  <c r="D406" i="2"/>
  <c r="G406" i="2"/>
  <c r="I406" i="2" s="1"/>
  <c r="H406" i="2" s="1"/>
  <c r="L406" i="2"/>
  <c r="D407" i="2"/>
  <c r="G407" i="2"/>
  <c r="I407" i="2" s="1"/>
  <c r="H407" i="2" s="1"/>
  <c r="L407" i="2"/>
  <c r="D408" i="2"/>
  <c r="G408" i="2"/>
  <c r="I408" i="2" s="1"/>
  <c r="H408" i="2" s="1"/>
  <c r="L408" i="2"/>
  <c r="D409" i="2"/>
  <c r="G409" i="2"/>
  <c r="I409" i="2" s="1"/>
  <c r="H409" i="2" s="1"/>
  <c r="L409" i="2"/>
  <c r="D410" i="2"/>
  <c r="G410" i="2"/>
  <c r="I410" i="2" s="1"/>
  <c r="H410" i="2" s="1"/>
  <c r="L410" i="2"/>
  <c r="D411" i="2"/>
  <c r="G411" i="2"/>
  <c r="I411" i="2" s="1"/>
  <c r="H411" i="2" s="1"/>
  <c r="L411" i="2"/>
  <c r="D412" i="2"/>
  <c r="G412" i="2"/>
  <c r="I412" i="2" s="1"/>
  <c r="H412" i="2" s="1"/>
  <c r="L412" i="2"/>
  <c r="D413" i="2"/>
  <c r="G413" i="2"/>
  <c r="I413" i="2" s="1"/>
  <c r="H413" i="2" s="1"/>
  <c r="L413" i="2"/>
  <c r="D414" i="2"/>
  <c r="G414" i="2"/>
  <c r="I414" i="2" s="1"/>
  <c r="H414" i="2" s="1"/>
  <c r="L414" i="2"/>
  <c r="D415" i="2"/>
  <c r="G415" i="2"/>
  <c r="I415" i="2" s="1"/>
  <c r="H415" i="2" s="1"/>
  <c r="L415" i="2"/>
  <c r="D416" i="2"/>
  <c r="G416" i="2"/>
  <c r="I416" i="2" s="1"/>
  <c r="H416" i="2" s="1"/>
  <c r="L416" i="2"/>
  <c r="D417" i="2"/>
  <c r="G417" i="2"/>
  <c r="I417" i="2" s="1"/>
  <c r="H417" i="2" s="1"/>
  <c r="L417" i="2"/>
  <c r="D418" i="2"/>
  <c r="G418" i="2"/>
  <c r="I418" i="2" s="1"/>
  <c r="H418" i="2" s="1"/>
  <c r="L418" i="2"/>
  <c r="D419" i="2"/>
  <c r="G419" i="2"/>
  <c r="I419" i="2"/>
  <c r="H419" i="2" s="1"/>
  <c r="L419" i="2"/>
  <c r="D420" i="2"/>
  <c r="G420" i="2"/>
  <c r="I420" i="2" s="1"/>
  <c r="H420" i="2" s="1"/>
  <c r="L420" i="2"/>
  <c r="D421" i="2"/>
  <c r="G421" i="2"/>
  <c r="I421" i="2" s="1"/>
  <c r="H421" i="2" s="1"/>
  <c r="L421" i="2"/>
  <c r="D422" i="2"/>
  <c r="G422" i="2"/>
  <c r="I422" i="2" s="1"/>
  <c r="H422" i="2" s="1"/>
  <c r="L422" i="2"/>
  <c r="D423" i="2"/>
  <c r="G423" i="2"/>
  <c r="I423" i="2" s="1"/>
  <c r="H423" i="2" s="1"/>
  <c r="L423" i="2"/>
  <c r="D424" i="2"/>
  <c r="G424" i="2"/>
  <c r="I424" i="2" s="1"/>
  <c r="H424" i="2" s="1"/>
  <c r="L424" i="2"/>
  <c r="D425" i="2"/>
  <c r="G425" i="2"/>
  <c r="I425" i="2" s="1"/>
  <c r="H425" i="2" s="1"/>
  <c r="L425" i="2"/>
  <c r="D426" i="2"/>
  <c r="G426" i="2"/>
  <c r="I426" i="2" s="1"/>
  <c r="H426" i="2" s="1"/>
  <c r="L426" i="2"/>
  <c r="D427" i="2"/>
  <c r="G427" i="2"/>
  <c r="I427" i="2" s="1"/>
  <c r="H427" i="2" s="1"/>
  <c r="L427" i="2"/>
  <c r="D428" i="2"/>
  <c r="G428" i="2"/>
  <c r="I428" i="2" s="1"/>
  <c r="H428" i="2" s="1"/>
  <c r="L428" i="2"/>
  <c r="D429" i="2"/>
  <c r="G429" i="2"/>
  <c r="I429" i="2" s="1"/>
  <c r="H429" i="2" s="1"/>
  <c r="L429" i="2"/>
  <c r="D430" i="2"/>
  <c r="G430" i="2"/>
  <c r="I430" i="2" s="1"/>
  <c r="H430" i="2" s="1"/>
  <c r="L430" i="2"/>
  <c r="D431" i="2"/>
  <c r="G431" i="2"/>
  <c r="I431" i="2" s="1"/>
  <c r="H431" i="2" s="1"/>
  <c r="L431" i="2"/>
  <c r="D432" i="2"/>
  <c r="G432" i="2"/>
  <c r="I432" i="2"/>
  <c r="H432" i="2" s="1"/>
  <c r="L432" i="2"/>
  <c r="D433" i="2"/>
  <c r="G433" i="2"/>
  <c r="I433" i="2" s="1"/>
  <c r="H433" i="2" s="1"/>
  <c r="L433" i="2"/>
  <c r="D434" i="2"/>
  <c r="G434" i="2"/>
  <c r="I434" i="2" s="1"/>
  <c r="H434" i="2" s="1"/>
  <c r="L434" i="2"/>
  <c r="D435" i="2"/>
  <c r="G435" i="2"/>
  <c r="I435" i="2" s="1"/>
  <c r="H435" i="2" s="1"/>
  <c r="L435" i="2"/>
  <c r="D436" i="2"/>
  <c r="G436" i="2"/>
  <c r="I436" i="2" s="1"/>
  <c r="H436" i="2" s="1"/>
  <c r="L436" i="2"/>
  <c r="D437" i="2"/>
  <c r="G437" i="2"/>
  <c r="I437" i="2" s="1"/>
  <c r="H437" i="2" s="1"/>
  <c r="L437" i="2"/>
  <c r="D438" i="2"/>
  <c r="G438" i="2"/>
  <c r="I438" i="2"/>
  <c r="H438" i="2" s="1"/>
  <c r="L438" i="2"/>
  <c r="D439" i="2"/>
  <c r="G439" i="2"/>
  <c r="I439" i="2" s="1"/>
  <c r="H439" i="2" s="1"/>
  <c r="L439" i="2"/>
  <c r="D440" i="2"/>
  <c r="G440" i="2"/>
  <c r="I440" i="2" s="1"/>
  <c r="H440" i="2" s="1"/>
  <c r="L440" i="2"/>
  <c r="D441" i="2"/>
  <c r="G441" i="2"/>
  <c r="I441" i="2" s="1"/>
  <c r="H441" i="2" s="1"/>
  <c r="L441" i="2"/>
  <c r="D442" i="2"/>
  <c r="G442" i="2"/>
  <c r="I442" i="2" s="1"/>
  <c r="H442" i="2" s="1"/>
  <c r="L442" i="2"/>
  <c r="D443" i="2"/>
  <c r="G443" i="2"/>
  <c r="I443" i="2" s="1"/>
  <c r="H443" i="2" s="1"/>
  <c r="L443" i="2"/>
  <c r="D444" i="2"/>
  <c r="G444" i="2"/>
  <c r="I444" i="2"/>
  <c r="H444" i="2" s="1"/>
  <c r="L444" i="2"/>
  <c r="D445" i="2"/>
  <c r="G445" i="2"/>
  <c r="I445" i="2" s="1"/>
  <c r="H445" i="2" s="1"/>
  <c r="L445" i="2"/>
  <c r="D446" i="2"/>
  <c r="G446" i="2"/>
  <c r="I446" i="2" s="1"/>
  <c r="H446" i="2" s="1"/>
  <c r="L446" i="2"/>
  <c r="D447" i="2"/>
  <c r="G447" i="2"/>
  <c r="I447" i="2" s="1"/>
  <c r="H447" i="2" s="1"/>
  <c r="L447" i="2"/>
  <c r="D448" i="2"/>
  <c r="G448" i="2"/>
  <c r="I448" i="2"/>
  <c r="H448" i="2" s="1"/>
  <c r="L448" i="2"/>
  <c r="D449" i="2"/>
  <c r="G449" i="2"/>
  <c r="I449" i="2" s="1"/>
  <c r="H449" i="2" s="1"/>
  <c r="L449" i="2"/>
  <c r="D450" i="2"/>
  <c r="G450" i="2"/>
  <c r="I450" i="2" s="1"/>
  <c r="H450" i="2" s="1"/>
  <c r="L450" i="2"/>
  <c r="D451" i="2"/>
  <c r="G451" i="2"/>
  <c r="I451" i="2" s="1"/>
  <c r="H451" i="2" s="1"/>
  <c r="L451" i="2"/>
  <c r="D452" i="2"/>
  <c r="G452" i="2"/>
  <c r="I452" i="2"/>
  <c r="H452" i="2" s="1"/>
  <c r="L452" i="2"/>
  <c r="D453" i="2"/>
  <c r="G453" i="2"/>
  <c r="I453" i="2" s="1"/>
  <c r="H453" i="2" s="1"/>
  <c r="L453" i="2"/>
  <c r="D454" i="2"/>
  <c r="G454" i="2"/>
  <c r="I454" i="2" s="1"/>
  <c r="H454" i="2" s="1"/>
  <c r="L454" i="2"/>
  <c r="D455" i="2"/>
  <c r="G455" i="2"/>
  <c r="I455" i="2" s="1"/>
  <c r="H455" i="2" s="1"/>
  <c r="L455" i="2"/>
  <c r="D456" i="2"/>
  <c r="G456" i="2"/>
  <c r="I456" i="2" s="1"/>
  <c r="H456" i="2" s="1"/>
  <c r="L456" i="2"/>
  <c r="D457" i="2"/>
  <c r="G457" i="2"/>
  <c r="I457" i="2" s="1"/>
  <c r="H457" i="2" s="1"/>
  <c r="L457" i="2"/>
  <c r="D458" i="2"/>
  <c r="G458" i="2"/>
  <c r="I458" i="2" s="1"/>
  <c r="H458" i="2" s="1"/>
  <c r="L458" i="2"/>
  <c r="D459" i="2"/>
  <c r="G459" i="2"/>
  <c r="I459" i="2" s="1"/>
  <c r="H459" i="2" s="1"/>
  <c r="L459" i="2"/>
  <c r="D460" i="2"/>
  <c r="G460" i="2"/>
  <c r="I460" i="2" s="1"/>
  <c r="H460" i="2" s="1"/>
  <c r="L460" i="2"/>
  <c r="D461" i="2"/>
  <c r="G461" i="2"/>
  <c r="I461" i="2" s="1"/>
  <c r="H461" i="2" s="1"/>
  <c r="L461" i="2"/>
  <c r="D462" i="2"/>
  <c r="G462" i="2"/>
  <c r="I462" i="2" s="1"/>
  <c r="H462" i="2" s="1"/>
  <c r="L462" i="2"/>
  <c r="D463" i="2"/>
  <c r="G463" i="2"/>
  <c r="I463" i="2" s="1"/>
  <c r="H463" i="2" s="1"/>
  <c r="L463" i="2"/>
  <c r="D464" i="2"/>
  <c r="G464" i="2"/>
  <c r="I464" i="2"/>
  <c r="H464" i="2" s="1"/>
  <c r="L464" i="2"/>
  <c r="D465" i="2"/>
  <c r="G465" i="2"/>
  <c r="I465" i="2" s="1"/>
  <c r="H465" i="2" s="1"/>
  <c r="L465" i="2"/>
  <c r="D466" i="2"/>
  <c r="G466" i="2"/>
  <c r="I466" i="2" s="1"/>
  <c r="H466" i="2" s="1"/>
  <c r="L466" i="2"/>
  <c r="D467" i="2"/>
  <c r="G467" i="2"/>
  <c r="I467" i="2" s="1"/>
  <c r="H467" i="2" s="1"/>
  <c r="L467" i="2"/>
  <c r="D468" i="2"/>
  <c r="G468" i="2"/>
  <c r="I468" i="2"/>
  <c r="H468" i="2" s="1"/>
  <c r="L468" i="2"/>
  <c r="D469" i="2"/>
  <c r="G469" i="2"/>
  <c r="I469" i="2" s="1"/>
  <c r="H469" i="2" s="1"/>
  <c r="L469" i="2"/>
  <c r="D470" i="2"/>
  <c r="G470" i="2"/>
  <c r="I470" i="2" s="1"/>
  <c r="H470" i="2" s="1"/>
  <c r="L470" i="2"/>
  <c r="D471" i="2"/>
  <c r="G471" i="2"/>
  <c r="I471" i="2" s="1"/>
  <c r="H471" i="2" s="1"/>
  <c r="L471" i="2"/>
  <c r="D472" i="2"/>
  <c r="G472" i="2"/>
  <c r="I472" i="2" s="1"/>
  <c r="H472" i="2" s="1"/>
  <c r="L472" i="2"/>
  <c r="D473" i="2"/>
  <c r="G473" i="2"/>
  <c r="I473" i="2" s="1"/>
  <c r="H473" i="2" s="1"/>
  <c r="L473" i="2"/>
  <c r="D474" i="2"/>
  <c r="G474" i="2"/>
  <c r="I474" i="2" s="1"/>
  <c r="H474" i="2" s="1"/>
  <c r="L474" i="2"/>
  <c r="D475" i="2"/>
  <c r="G475" i="2"/>
  <c r="I475" i="2" s="1"/>
  <c r="H475" i="2" s="1"/>
  <c r="L475" i="2"/>
  <c r="D476" i="2"/>
  <c r="G476" i="2"/>
  <c r="I476" i="2" s="1"/>
  <c r="H476" i="2" s="1"/>
  <c r="L476" i="2"/>
  <c r="D477" i="2"/>
  <c r="G477" i="2"/>
  <c r="I477" i="2" s="1"/>
  <c r="H477" i="2" s="1"/>
  <c r="L477" i="2"/>
  <c r="D478" i="2"/>
  <c r="G478" i="2"/>
  <c r="I478" i="2" s="1"/>
  <c r="H478" i="2" s="1"/>
  <c r="L478" i="2"/>
  <c r="D479" i="2"/>
  <c r="G479" i="2"/>
  <c r="I479" i="2" s="1"/>
  <c r="H479" i="2" s="1"/>
  <c r="L479" i="2"/>
  <c r="D480" i="2"/>
  <c r="G480" i="2"/>
  <c r="I480" i="2"/>
  <c r="H480" i="2" s="1"/>
  <c r="L480" i="2"/>
  <c r="D481" i="2"/>
  <c r="G481" i="2"/>
  <c r="I481" i="2" s="1"/>
  <c r="H481" i="2" s="1"/>
  <c r="L481" i="2"/>
  <c r="D482" i="2"/>
  <c r="G482" i="2"/>
  <c r="I482" i="2" s="1"/>
  <c r="H482" i="2" s="1"/>
  <c r="L482" i="2"/>
  <c r="D483" i="2"/>
  <c r="G483" i="2"/>
  <c r="I483" i="2" s="1"/>
  <c r="H483" i="2" s="1"/>
  <c r="L483" i="2"/>
  <c r="D484" i="2"/>
  <c r="G484" i="2"/>
  <c r="I484" i="2"/>
  <c r="H484" i="2" s="1"/>
  <c r="L484" i="2"/>
  <c r="D485" i="2"/>
  <c r="G485" i="2"/>
  <c r="I485" i="2" s="1"/>
  <c r="H485" i="2" s="1"/>
  <c r="L485" i="2"/>
  <c r="D486" i="2"/>
  <c r="G486" i="2"/>
  <c r="I486" i="2" s="1"/>
  <c r="H486" i="2" s="1"/>
  <c r="L486" i="2"/>
  <c r="D487" i="2"/>
  <c r="G487" i="2"/>
  <c r="I487" i="2" s="1"/>
  <c r="H487" i="2" s="1"/>
  <c r="L487" i="2"/>
  <c r="D488" i="2"/>
  <c r="G488" i="2"/>
  <c r="I488" i="2" s="1"/>
  <c r="H488" i="2" s="1"/>
  <c r="L488" i="2"/>
  <c r="D489" i="2"/>
  <c r="G489" i="2"/>
  <c r="I489" i="2" s="1"/>
  <c r="H489" i="2" s="1"/>
  <c r="L489" i="2"/>
  <c r="D490" i="2"/>
  <c r="G490" i="2"/>
  <c r="I490" i="2" s="1"/>
  <c r="H490" i="2" s="1"/>
  <c r="L490" i="2"/>
  <c r="D491" i="2"/>
  <c r="G491" i="2"/>
  <c r="I491" i="2" s="1"/>
  <c r="H491" i="2" s="1"/>
  <c r="L491" i="2"/>
  <c r="D492" i="2"/>
  <c r="G492" i="2"/>
  <c r="I492" i="2" s="1"/>
  <c r="H492" i="2" s="1"/>
  <c r="L492" i="2"/>
  <c r="D493" i="2"/>
  <c r="G493" i="2"/>
  <c r="I493" i="2" s="1"/>
  <c r="H493" i="2" s="1"/>
  <c r="L493" i="2"/>
  <c r="D494" i="2"/>
  <c r="G494" i="2"/>
  <c r="I494" i="2" s="1"/>
  <c r="H494" i="2" s="1"/>
  <c r="L494" i="2"/>
  <c r="D495" i="2"/>
  <c r="G495" i="2"/>
  <c r="I495" i="2" s="1"/>
  <c r="H495" i="2" s="1"/>
  <c r="L495" i="2"/>
  <c r="D496" i="2"/>
  <c r="G496" i="2"/>
  <c r="I496" i="2"/>
  <c r="H496" i="2" s="1"/>
  <c r="L496" i="2"/>
  <c r="D497" i="2"/>
  <c r="G497" i="2"/>
  <c r="I497" i="2" s="1"/>
  <c r="H497" i="2" s="1"/>
  <c r="L497" i="2"/>
  <c r="D498" i="2"/>
  <c r="G498" i="2"/>
  <c r="I498" i="2" s="1"/>
  <c r="H498" i="2" s="1"/>
  <c r="L498" i="2"/>
  <c r="D499" i="2"/>
  <c r="G499" i="2"/>
  <c r="I499" i="2" s="1"/>
  <c r="H499" i="2" s="1"/>
  <c r="L499" i="2"/>
  <c r="D500" i="2"/>
  <c r="G500" i="2"/>
  <c r="I500" i="2"/>
  <c r="H500" i="2" s="1"/>
  <c r="L500" i="2"/>
  <c r="D501" i="2"/>
  <c r="G501" i="2"/>
  <c r="I501" i="2" s="1"/>
  <c r="H501" i="2" s="1"/>
  <c r="L501" i="2"/>
  <c r="D502" i="2"/>
  <c r="G502" i="2"/>
  <c r="I502" i="2" s="1"/>
  <c r="H502" i="2" s="1"/>
  <c r="L502" i="2"/>
  <c r="AS297" i="1" l="1"/>
  <c r="AT24" i="7"/>
  <c r="AT16" i="7"/>
  <c r="AS305" i="1"/>
  <c r="AS98" i="1"/>
  <c r="AS110" i="1"/>
  <c r="AT22" i="7"/>
  <c r="AT21" i="7"/>
  <c r="AT18" i="7"/>
  <c r="AT23" i="7"/>
  <c r="AT25" i="7"/>
  <c r="AT17" i="7"/>
  <c r="AS19" i="7"/>
  <c r="AT19" i="7"/>
  <c r="AS22" i="7"/>
  <c r="AS90" i="1"/>
  <c r="AS102" i="1"/>
  <c r="AS114" i="1"/>
  <c r="AS126" i="1"/>
  <c r="AS197" i="1"/>
  <c r="AS24" i="7"/>
  <c r="AS16" i="7"/>
  <c r="AS21" i="7"/>
  <c r="AS18" i="7"/>
  <c r="AS301" i="1"/>
  <c r="AS23" i="7"/>
  <c r="AS106" i="1"/>
  <c r="AT20" i="7"/>
  <c r="AS20" i="7"/>
  <c r="AS25" i="7"/>
  <c r="AS17" i="7"/>
  <c r="AS158" i="1"/>
  <c r="AS176" i="1"/>
  <c r="AS172" i="1"/>
  <c r="AS168" i="1"/>
  <c r="AS186" i="1"/>
  <c r="AS240" i="1"/>
  <c r="AS256" i="1"/>
  <c r="AS258" i="1"/>
  <c r="AS69" i="1"/>
  <c r="AS16" i="1"/>
  <c r="AS19" i="1"/>
  <c r="AS43" i="1"/>
  <c r="AS39" i="1"/>
  <c r="AS65" i="1"/>
  <c r="AS63" i="1"/>
  <c r="AS57" i="1"/>
  <c r="AS73" i="1"/>
  <c r="AS184" i="1"/>
  <c r="AS10" i="1"/>
  <c r="AS8" i="1"/>
  <c r="AS26" i="1"/>
  <c r="AS24" i="1"/>
  <c r="AS27" i="1"/>
  <c r="AS213" i="1"/>
  <c r="AS209" i="1"/>
  <c r="AS207" i="1"/>
  <c r="AS223" i="1"/>
  <c r="AS221" i="1"/>
  <c r="AS217" i="1"/>
  <c r="AS235" i="1"/>
  <c r="AS229" i="1"/>
  <c r="AS239" i="1"/>
  <c r="AS255" i="1"/>
  <c r="AS275" i="1"/>
  <c r="AS289" i="1"/>
  <c r="AS85" i="1"/>
  <c r="AS81" i="1"/>
  <c r="AS79" i="1"/>
  <c r="AS95" i="1"/>
  <c r="AS93" i="1"/>
  <c r="AS91" i="1"/>
  <c r="AS180" i="1"/>
  <c r="AS194" i="1"/>
  <c r="AS190" i="1"/>
  <c r="AS188" i="1"/>
  <c r="AS202" i="1"/>
  <c r="AS198" i="1"/>
  <c r="AS214" i="1"/>
  <c r="AS210" i="1"/>
  <c r="AS23" i="1"/>
  <c r="AS48" i="1"/>
  <c r="AS66" i="1"/>
  <c r="AS64" i="1"/>
  <c r="AS60" i="1"/>
  <c r="AS76" i="1"/>
  <c r="AS72" i="1"/>
  <c r="AS28" i="1"/>
  <c r="AS77" i="1"/>
  <c r="AS195" i="1"/>
  <c r="AS191" i="1"/>
  <c r="AS227" i="1"/>
  <c r="AS241" i="1"/>
  <c r="AS237" i="1"/>
  <c r="AS251" i="1"/>
  <c r="AS247" i="1"/>
  <c r="AS261" i="1"/>
  <c r="AS259" i="1"/>
  <c r="AS11" i="1"/>
  <c r="AS9" i="1"/>
  <c r="AS7" i="1"/>
  <c r="AS30" i="1"/>
  <c r="AS46" i="1"/>
  <c r="AS44" i="1"/>
  <c r="AS53" i="1"/>
  <c r="AS51" i="1"/>
  <c r="AS49" i="1"/>
  <c r="AS47" i="1"/>
  <c r="AS14" i="1"/>
  <c r="AS12" i="1"/>
  <c r="AS35" i="1"/>
  <c r="AS33" i="1"/>
  <c r="AS31" i="1"/>
  <c r="AS29" i="1"/>
  <c r="AS38" i="1"/>
  <c r="AS56" i="1"/>
  <c r="AS54" i="1"/>
  <c r="AS52" i="1"/>
  <c r="AS89" i="1"/>
  <c r="AS105" i="1"/>
  <c r="AS101" i="1"/>
  <c r="AS99" i="1"/>
  <c r="AS115" i="1"/>
  <c r="AS149" i="1"/>
  <c r="AS165" i="1"/>
  <c r="AS185" i="1"/>
  <c r="AS182" i="1"/>
  <c r="AS232" i="1"/>
  <c r="AS228" i="1"/>
  <c r="AS238" i="1"/>
  <c r="AS254" i="1"/>
  <c r="AS252" i="1"/>
  <c r="AS248" i="1"/>
  <c r="AS264" i="1"/>
  <c r="AS262" i="1"/>
  <c r="AS260" i="1"/>
  <c r="AS272" i="1"/>
  <c r="AS300" i="1"/>
  <c r="AS22" i="1"/>
  <c r="AS20" i="1"/>
  <c r="AS87" i="1"/>
  <c r="AS103" i="1"/>
  <c r="AS97" i="1"/>
  <c r="AS113" i="1"/>
  <c r="AS111" i="1"/>
  <c r="AS107" i="1"/>
  <c r="AS163" i="1"/>
  <c r="AS159" i="1"/>
  <c r="AS173" i="1"/>
  <c r="AS167" i="1"/>
  <c r="AS178" i="1"/>
  <c r="AS196" i="1"/>
  <c r="AS192" i="1"/>
  <c r="AS203" i="1"/>
  <c r="AS211" i="1"/>
  <c r="AS218" i="1"/>
  <c r="AS230" i="1"/>
  <c r="AS244" i="1"/>
  <c r="AS242" i="1"/>
  <c r="AS253" i="1"/>
  <c r="AS249" i="1"/>
  <c r="AS265" i="1"/>
  <c r="AS263" i="1"/>
  <c r="AS276" i="1"/>
  <c r="AS274" i="1"/>
  <c r="AS290" i="1"/>
  <c r="AS306" i="1"/>
  <c r="AS25" i="1"/>
  <c r="AS15" i="1"/>
  <c r="AS13" i="1"/>
  <c r="AS21" i="1"/>
  <c r="AS18" i="1"/>
  <c r="AS36" i="1"/>
  <c r="AS45" i="1"/>
  <c r="AS42" i="1"/>
  <c r="AS40" i="1"/>
  <c r="AS61" i="1"/>
  <c r="AS59" i="1"/>
  <c r="AS75" i="1"/>
  <c r="AS71" i="1"/>
  <c r="AS67" i="1"/>
  <c r="AS83" i="1"/>
  <c r="AS88" i="1"/>
  <c r="AS104" i="1"/>
  <c r="AS100" i="1"/>
  <c r="AS116" i="1"/>
  <c r="AS112" i="1"/>
  <c r="AS148" i="1"/>
  <c r="AS164" i="1"/>
  <c r="AS174" i="1"/>
  <c r="AS170" i="1"/>
  <c r="AS183" i="1"/>
  <c r="AS193" i="1"/>
  <c r="AS189" i="1"/>
  <c r="AS206" i="1"/>
  <c r="AS204" i="1"/>
  <c r="AS212" i="1"/>
  <c r="AS208" i="1"/>
  <c r="AS225" i="1"/>
  <c r="AS219" i="1"/>
  <c r="AS231" i="1"/>
  <c r="AS243" i="1"/>
  <c r="AS250" i="1"/>
  <c r="AS266" i="1"/>
  <c r="AS257" i="1"/>
  <c r="AS273" i="1"/>
  <c r="AS291" i="1"/>
  <c r="AS17" i="1"/>
  <c r="AS34" i="1"/>
  <c r="AS32" i="1"/>
  <c r="AS41" i="1"/>
  <c r="AS37" i="1"/>
  <c r="AS55" i="1"/>
  <c r="AS50" i="1"/>
  <c r="AS62" i="1"/>
  <c r="AS58" i="1"/>
  <c r="AS74" i="1"/>
  <c r="F80" i="2"/>
  <c r="F79" i="2"/>
  <c r="F48" i="2"/>
  <c r="F47" i="2"/>
  <c r="F124" i="2"/>
  <c r="F100" i="2"/>
  <c r="F88" i="2"/>
  <c r="F72" i="2"/>
  <c r="F71" i="2"/>
  <c r="F56" i="2"/>
  <c r="F40" i="2"/>
  <c r="F39" i="2"/>
  <c r="F37" i="2"/>
  <c r="F26" i="2"/>
  <c r="F25" i="2"/>
  <c r="F24" i="2"/>
  <c r="F22" i="2"/>
  <c r="F16" i="2"/>
  <c r="F15" i="2"/>
  <c r="F14" i="2"/>
  <c r="F120" i="2"/>
  <c r="F119" i="2"/>
  <c r="F116" i="2"/>
  <c r="F115" i="2"/>
  <c r="F112" i="2"/>
  <c r="F104" i="2"/>
  <c r="F96" i="2"/>
  <c r="F95" i="2"/>
  <c r="F64" i="2"/>
  <c r="F63" i="2"/>
  <c r="F28" i="2"/>
  <c r="F18" i="2"/>
  <c r="F499" i="2"/>
  <c r="F498" i="2"/>
  <c r="F491" i="2"/>
  <c r="F490" i="2"/>
  <c r="F483" i="2"/>
  <c r="F482" i="2"/>
  <c r="F475" i="2"/>
  <c r="F474" i="2"/>
  <c r="F467" i="2"/>
  <c r="F466" i="2"/>
  <c r="F459" i="2"/>
  <c r="F458" i="2"/>
  <c r="F451" i="2"/>
  <c r="F450" i="2"/>
  <c r="F443" i="2"/>
  <c r="F437" i="2"/>
  <c r="F436" i="2"/>
  <c r="F426" i="2"/>
  <c r="F421" i="2"/>
  <c r="F416" i="2"/>
  <c r="F415" i="2"/>
  <c r="F411" i="2"/>
  <c r="F406" i="2"/>
  <c r="F401" i="2"/>
  <c r="F396" i="2"/>
  <c r="F362" i="2"/>
  <c r="F357" i="2"/>
  <c r="F352" i="2"/>
  <c r="F351" i="2"/>
  <c r="F347" i="2"/>
  <c r="F342" i="2"/>
  <c r="F337" i="2"/>
  <c r="F332" i="2"/>
  <c r="F298" i="2"/>
  <c r="F293" i="2"/>
  <c r="F288" i="2"/>
  <c r="F287" i="2"/>
  <c r="F501" i="2"/>
  <c r="F500" i="2"/>
  <c r="F485" i="2"/>
  <c r="F484" i="2"/>
  <c r="F477" i="2"/>
  <c r="F476" i="2"/>
  <c r="F461" i="2"/>
  <c r="F460" i="2"/>
  <c r="F445" i="2"/>
  <c r="F444" i="2"/>
  <c r="F433" i="2"/>
  <c r="F432" i="2"/>
  <c r="F427" i="2"/>
  <c r="F417" i="2"/>
  <c r="F412" i="2"/>
  <c r="F408" i="2"/>
  <c r="F407" i="2"/>
  <c r="F402" i="2"/>
  <c r="F378" i="2"/>
  <c r="F373" i="2"/>
  <c r="F368" i="2"/>
  <c r="F367" i="2"/>
  <c r="F363" i="2"/>
  <c r="F358" i="2"/>
  <c r="F353" i="2"/>
  <c r="F348" i="2"/>
  <c r="F314" i="2"/>
  <c r="F309" i="2"/>
  <c r="F304" i="2"/>
  <c r="F303" i="2"/>
  <c r="F493" i="2"/>
  <c r="F492" i="2"/>
  <c r="F469" i="2"/>
  <c r="F468" i="2"/>
  <c r="F453" i="2"/>
  <c r="F452" i="2"/>
  <c r="F422" i="2"/>
  <c r="F502" i="2"/>
  <c r="F495" i="2"/>
  <c r="F494" i="2"/>
  <c r="F487" i="2"/>
  <c r="F486" i="2"/>
  <c r="F479" i="2"/>
  <c r="F478" i="2"/>
  <c r="F471" i="2"/>
  <c r="F470" i="2"/>
  <c r="F463" i="2"/>
  <c r="F462" i="2"/>
  <c r="F455" i="2"/>
  <c r="F454" i="2"/>
  <c r="F447" i="2"/>
  <c r="F441" i="2"/>
  <c r="F440" i="2"/>
  <c r="F434" i="2"/>
  <c r="F428" i="2"/>
  <c r="F424" i="2"/>
  <c r="F423" i="2"/>
  <c r="F418" i="2"/>
  <c r="F413" i="2"/>
  <c r="F394" i="2"/>
  <c r="F389" i="2"/>
  <c r="F384" i="2"/>
  <c r="F383" i="2"/>
  <c r="F379" i="2"/>
  <c r="F374" i="2"/>
  <c r="F369" i="2"/>
  <c r="F364" i="2"/>
  <c r="F330" i="2"/>
  <c r="F325" i="2"/>
  <c r="F320" i="2"/>
  <c r="F319" i="2"/>
  <c r="F315" i="2"/>
  <c r="F497" i="2"/>
  <c r="F496" i="2"/>
  <c r="F489" i="2"/>
  <c r="F488" i="2"/>
  <c r="F481" i="2"/>
  <c r="F480" i="2"/>
  <c r="F473" i="2"/>
  <c r="F472" i="2"/>
  <c r="F465" i="2"/>
  <c r="F464" i="2"/>
  <c r="F457" i="2"/>
  <c r="F456" i="2"/>
  <c r="F449" i="2"/>
  <c r="F448" i="2"/>
  <c r="F442" i="2"/>
  <c r="F435" i="2"/>
  <c r="F410" i="2"/>
  <c r="F405" i="2"/>
  <c r="F400" i="2"/>
  <c r="F399" i="2"/>
  <c r="F395" i="2"/>
  <c r="F390" i="2"/>
  <c r="F385" i="2"/>
  <c r="F380" i="2"/>
  <c r="F346" i="2"/>
  <c r="F341" i="2"/>
  <c r="F336" i="2"/>
  <c r="F335" i="2"/>
  <c r="F331" i="2"/>
  <c r="F326" i="2"/>
  <c r="F321" i="2"/>
  <c r="F316" i="2"/>
  <c r="F282" i="2"/>
  <c r="F277" i="2"/>
  <c r="F272" i="2"/>
  <c r="F271" i="2"/>
  <c r="F446" i="2"/>
  <c r="F439" i="2"/>
  <c r="F438" i="2"/>
  <c r="F431" i="2"/>
  <c r="F430" i="2"/>
  <c r="F425" i="2"/>
  <c r="F420" i="2"/>
  <c r="F419" i="2"/>
  <c r="F414" i="2"/>
  <c r="F409" i="2"/>
  <c r="F404" i="2"/>
  <c r="F403" i="2"/>
  <c r="F398" i="2"/>
  <c r="F393" i="2"/>
  <c r="F388" i="2"/>
  <c r="F387" i="2"/>
  <c r="F382" i="2"/>
  <c r="F377" i="2"/>
  <c r="F372" i="2"/>
  <c r="F371" i="2"/>
  <c r="F366" i="2"/>
  <c r="F361" i="2"/>
  <c r="F356" i="2"/>
  <c r="F355" i="2"/>
  <c r="F350" i="2"/>
  <c r="F345" i="2"/>
  <c r="F340" i="2"/>
  <c r="F339" i="2"/>
  <c r="F334" i="2"/>
  <c r="F329" i="2"/>
  <c r="F324" i="2"/>
  <c r="F323" i="2"/>
  <c r="F318" i="2"/>
  <c r="F313" i="2"/>
  <c r="F308" i="2"/>
  <c r="F307" i="2"/>
  <c r="F302" i="2"/>
  <c r="F297" i="2"/>
  <c r="F292" i="2"/>
  <c r="F291" i="2"/>
  <c r="F286" i="2"/>
  <c r="F281" i="2"/>
  <c r="F276" i="2"/>
  <c r="F275" i="2"/>
  <c r="F270" i="2"/>
  <c r="F265" i="2"/>
  <c r="F260" i="2"/>
  <c r="F259" i="2"/>
  <c r="F254" i="2"/>
  <c r="F249" i="2"/>
  <c r="F244" i="2"/>
  <c r="F243" i="2"/>
  <c r="F238" i="2"/>
  <c r="F233" i="2"/>
  <c r="F228" i="2"/>
  <c r="F227" i="2"/>
  <c r="F222" i="2"/>
  <c r="F217" i="2"/>
  <c r="F212" i="2"/>
  <c r="F211" i="2"/>
  <c r="F206" i="2"/>
  <c r="F201" i="2"/>
  <c r="F196" i="2"/>
  <c r="F195" i="2"/>
  <c r="F190" i="2"/>
  <c r="F185" i="2"/>
  <c r="F180" i="2"/>
  <c r="F179" i="2"/>
  <c r="F174" i="2"/>
  <c r="F169" i="2"/>
  <c r="F164" i="2"/>
  <c r="F163" i="2"/>
  <c r="F158" i="2"/>
  <c r="F153" i="2"/>
  <c r="F148" i="2"/>
  <c r="F147" i="2"/>
  <c r="F142" i="2"/>
  <c r="F137" i="2"/>
  <c r="F132" i="2"/>
  <c r="F131" i="2"/>
  <c r="F126" i="2"/>
  <c r="F125" i="2"/>
  <c r="F111" i="2"/>
  <c r="F106" i="2"/>
  <c r="F105" i="2"/>
  <c r="F99" i="2"/>
  <c r="F97" i="2"/>
  <c r="F94" i="2"/>
  <c r="F93" i="2"/>
  <c r="F87" i="2"/>
  <c r="F81" i="2"/>
  <c r="F78" i="2"/>
  <c r="F77" i="2"/>
  <c r="F73" i="2"/>
  <c r="F67" i="2"/>
  <c r="F65" i="2"/>
  <c r="F62" i="2"/>
  <c r="F61" i="2"/>
  <c r="F55" i="2"/>
  <c r="F49" i="2"/>
  <c r="F46" i="2"/>
  <c r="F45" i="2"/>
  <c r="F41" i="2"/>
  <c r="F36" i="2"/>
  <c r="F34" i="2"/>
  <c r="F19" i="2"/>
  <c r="F17" i="2"/>
  <c r="F13" i="2"/>
  <c r="F503" i="2"/>
  <c r="F266" i="2"/>
  <c r="F261" i="2"/>
  <c r="F256" i="2"/>
  <c r="F255" i="2"/>
  <c r="F250" i="2"/>
  <c r="F245" i="2"/>
  <c r="F240" i="2"/>
  <c r="F239" i="2"/>
  <c r="F234" i="2"/>
  <c r="F229" i="2"/>
  <c r="F224" i="2"/>
  <c r="F223" i="2"/>
  <c r="F218" i="2"/>
  <c r="F213" i="2"/>
  <c r="F208" i="2"/>
  <c r="F207" i="2"/>
  <c r="F202" i="2"/>
  <c r="F197" i="2"/>
  <c r="F192" i="2"/>
  <c r="F191" i="2"/>
  <c r="F186" i="2"/>
  <c r="F181" i="2"/>
  <c r="F176" i="2"/>
  <c r="F175" i="2"/>
  <c r="F170" i="2"/>
  <c r="F165" i="2"/>
  <c r="F160" i="2"/>
  <c r="F159" i="2"/>
  <c r="F154" i="2"/>
  <c r="F149" i="2"/>
  <c r="F144" i="2"/>
  <c r="F143" i="2"/>
  <c r="F138" i="2"/>
  <c r="F133" i="2"/>
  <c r="F128" i="2"/>
  <c r="F127" i="2"/>
  <c r="F114" i="2"/>
  <c r="F102" i="2"/>
  <c r="F310" i="2"/>
  <c r="F305" i="2"/>
  <c r="F300" i="2"/>
  <c r="F299" i="2"/>
  <c r="F294" i="2"/>
  <c r="F289" i="2"/>
  <c r="F284" i="2"/>
  <c r="F283" i="2"/>
  <c r="F278" i="2"/>
  <c r="F273" i="2"/>
  <c r="F268" i="2"/>
  <c r="F267" i="2"/>
  <c r="F262" i="2"/>
  <c r="F257" i="2"/>
  <c r="F252" i="2"/>
  <c r="F251" i="2"/>
  <c r="F246" i="2"/>
  <c r="F241" i="2"/>
  <c r="F236" i="2"/>
  <c r="F235" i="2"/>
  <c r="F230" i="2"/>
  <c r="F225" i="2"/>
  <c r="F220" i="2"/>
  <c r="F219" i="2"/>
  <c r="F214" i="2"/>
  <c r="F209" i="2"/>
  <c r="F204" i="2"/>
  <c r="F203" i="2"/>
  <c r="F198" i="2"/>
  <c r="F193" i="2"/>
  <c r="F188" i="2"/>
  <c r="F187" i="2"/>
  <c r="F182" i="2"/>
  <c r="F177" i="2"/>
  <c r="F172" i="2"/>
  <c r="F171" i="2"/>
  <c r="F166" i="2"/>
  <c r="F161" i="2"/>
  <c r="F156" i="2"/>
  <c r="F155" i="2"/>
  <c r="F150" i="2"/>
  <c r="F145" i="2"/>
  <c r="F140" i="2"/>
  <c r="F139" i="2"/>
  <c r="F134" i="2"/>
  <c r="F129" i="2"/>
  <c r="F122" i="2"/>
  <c r="F110" i="2"/>
  <c r="F92" i="2"/>
  <c r="F90" i="2"/>
  <c r="F86" i="2"/>
  <c r="F84" i="2"/>
  <c r="F76" i="2"/>
  <c r="F60" i="2"/>
  <c r="F58" i="2"/>
  <c r="F54" i="2"/>
  <c r="F52" i="2"/>
  <c r="F44" i="2"/>
  <c r="R304" i="1" s="1"/>
  <c r="F31" i="2"/>
  <c r="F23" i="2"/>
  <c r="F397" i="2"/>
  <c r="F392" i="2"/>
  <c r="F391" i="2"/>
  <c r="F386" i="2"/>
  <c r="F381" i="2"/>
  <c r="F376" i="2"/>
  <c r="F375" i="2"/>
  <c r="F370" i="2"/>
  <c r="F365" i="2"/>
  <c r="F360" i="2"/>
  <c r="F359" i="2"/>
  <c r="F354" i="2"/>
  <c r="F349" i="2"/>
  <c r="F344" i="2"/>
  <c r="F343" i="2"/>
  <c r="F338" i="2"/>
  <c r="F333" i="2"/>
  <c r="F328" i="2"/>
  <c r="F327" i="2"/>
  <c r="F322" i="2"/>
  <c r="F317" i="2"/>
  <c r="F312" i="2"/>
  <c r="F311" i="2"/>
  <c r="F306" i="2"/>
  <c r="F301" i="2"/>
  <c r="F296" i="2"/>
  <c r="F295" i="2"/>
  <c r="F290" i="2"/>
  <c r="F285" i="2"/>
  <c r="F280" i="2"/>
  <c r="F279" i="2"/>
  <c r="F274" i="2"/>
  <c r="F269" i="2"/>
  <c r="F264" i="2"/>
  <c r="F263" i="2"/>
  <c r="F258" i="2"/>
  <c r="F253" i="2"/>
  <c r="F248" i="2"/>
  <c r="F247" i="2"/>
  <c r="F242" i="2"/>
  <c r="F237" i="2"/>
  <c r="F232" i="2"/>
  <c r="F231" i="2"/>
  <c r="F226" i="2"/>
  <c r="F221" i="2"/>
  <c r="F216" i="2"/>
  <c r="F215" i="2"/>
  <c r="F210" i="2"/>
  <c r="F205" i="2"/>
  <c r="F200" i="2"/>
  <c r="F199" i="2"/>
  <c r="F194" i="2"/>
  <c r="F189" i="2"/>
  <c r="F184" i="2"/>
  <c r="F183" i="2"/>
  <c r="F178" i="2"/>
  <c r="F173" i="2"/>
  <c r="F168" i="2"/>
  <c r="F167" i="2"/>
  <c r="F162" i="2"/>
  <c r="F157" i="2"/>
  <c r="F152" i="2"/>
  <c r="F151" i="2"/>
  <c r="F146" i="2"/>
  <c r="F141" i="2"/>
  <c r="F136" i="2"/>
  <c r="F135" i="2"/>
  <c r="F130" i="2"/>
  <c r="F123" i="2"/>
  <c r="F118" i="2"/>
  <c r="F103" i="2"/>
  <c r="F98" i="2"/>
  <c r="F91" i="2"/>
  <c r="F89" i="2"/>
  <c r="F82" i="2"/>
  <c r="F74" i="2"/>
  <c r="F70" i="2"/>
  <c r="F68" i="2"/>
  <c r="F66" i="2"/>
  <c r="F59" i="2"/>
  <c r="F57" i="2"/>
  <c r="R300" i="1" s="1"/>
  <c r="F50" i="2"/>
  <c r="F42" i="2"/>
  <c r="AS70" i="1"/>
  <c r="AS68" i="1"/>
  <c r="AS86" i="1"/>
  <c r="AS84" i="1"/>
  <c r="AS82" i="1"/>
  <c r="AS108" i="1"/>
  <c r="AS122" i="1"/>
  <c r="AS150" i="1"/>
  <c r="AS166" i="1"/>
  <c r="AS161" i="1"/>
  <c r="AS160" i="1"/>
  <c r="AS175" i="1"/>
  <c r="AS171" i="1"/>
  <c r="AS169" i="1"/>
  <c r="AS177" i="1"/>
  <c r="AS205" i="1"/>
  <c r="AS199" i="1"/>
  <c r="AS215" i="1"/>
  <c r="AS224" i="1"/>
  <c r="AS222" i="1"/>
  <c r="AS220" i="1"/>
  <c r="AS234" i="1"/>
  <c r="AS233" i="1"/>
  <c r="AS245" i="1"/>
  <c r="AS287" i="1"/>
  <c r="AS302" i="1"/>
  <c r="AS80" i="1"/>
  <c r="AS78" i="1"/>
  <c r="AS96" i="1"/>
  <c r="AS94" i="1"/>
  <c r="AS92" i="1"/>
  <c r="AS109" i="1"/>
  <c r="AS125" i="1"/>
  <c r="AS124" i="1"/>
  <c r="AS123" i="1"/>
  <c r="AS147" i="1"/>
  <c r="AS162" i="1"/>
  <c r="AS157" i="1"/>
  <c r="AS181" i="1"/>
  <c r="AS179" i="1"/>
  <c r="AS187" i="1"/>
  <c r="AS201" i="1"/>
  <c r="AS200" i="1"/>
  <c r="AS216" i="1"/>
  <c r="AS226" i="1"/>
  <c r="AS236" i="1"/>
  <c r="AS246" i="1"/>
  <c r="AS271" i="1"/>
  <c r="AS288" i="1"/>
  <c r="AS304" i="1"/>
  <c r="AS303" i="1"/>
  <c r="AS298" i="1"/>
  <c r="AS299" i="1"/>
  <c r="F429" i="2"/>
  <c r="R297" i="1"/>
  <c r="R287" i="1"/>
  <c r="L301" i="1"/>
  <c r="L299" i="1"/>
  <c r="L287" i="1"/>
  <c r="L276" i="1"/>
  <c r="L257" i="1"/>
  <c r="L277" i="1"/>
  <c r="L271" i="1"/>
  <c r="L278" i="1"/>
  <c r="R260" i="1"/>
  <c r="R250" i="1"/>
  <c r="R233" i="1"/>
  <c r="R209" i="1"/>
  <c r="R265" i="1"/>
  <c r="L247" i="1"/>
  <c r="R253" i="1"/>
  <c r="R232" i="1"/>
  <c r="R273" i="1"/>
  <c r="L250" i="1"/>
  <c r="R257" i="1"/>
  <c r="R218" i="1"/>
  <c r="R210" i="1"/>
  <c r="R247" i="1"/>
  <c r="R256" i="1"/>
  <c r="R214" i="1"/>
  <c r="L253" i="1"/>
  <c r="R227" i="1"/>
  <c r="R231" i="1"/>
  <c r="L226" i="1"/>
  <c r="R220" i="1"/>
  <c r="L205" i="1"/>
  <c r="R255" i="1"/>
  <c r="R187" i="1"/>
  <c r="L177" i="1"/>
  <c r="L216" i="1"/>
  <c r="L200" i="1"/>
  <c r="R194" i="1"/>
  <c r="L233" i="1"/>
  <c r="L191" i="1"/>
  <c r="R177" i="1"/>
  <c r="L160" i="1"/>
  <c r="L164" i="1"/>
  <c r="L148" i="1"/>
  <c r="R124" i="1"/>
  <c r="R108" i="1"/>
  <c r="R112" i="1"/>
  <c r="R77" i="1"/>
  <c r="R61" i="1"/>
  <c r="L114" i="1"/>
  <c r="R91" i="1"/>
  <c r="R67" i="1"/>
  <c r="R63" i="1"/>
  <c r="R114" i="1"/>
  <c r="L82" i="1"/>
  <c r="L64" i="1"/>
  <c r="R52" i="1"/>
  <c r="R40" i="1"/>
  <c r="L18" i="1"/>
  <c r="L26" i="1"/>
  <c r="L14" i="1"/>
  <c r="L96" i="1"/>
  <c r="L74" i="1"/>
  <c r="R51" i="1"/>
  <c r="L41" i="1"/>
  <c r="R23" i="1"/>
  <c r="L13" i="1"/>
  <c r="R86" i="1"/>
  <c r="R66" i="1"/>
  <c r="R54" i="1"/>
  <c r="R42" i="1"/>
  <c r="L20" i="1"/>
  <c r="R10" i="1"/>
  <c r="L94" i="1"/>
  <c r="L72" i="1"/>
  <c r="L60" i="1"/>
  <c r="L39" i="1"/>
  <c r="R21" i="1"/>
  <c r="L11" i="1"/>
  <c r="L73" i="1"/>
  <c r="L108" i="1"/>
  <c r="L91" i="1"/>
  <c r="L75" i="1"/>
  <c r="L87" i="1"/>
  <c r="L67" i="1"/>
  <c r="L119" i="1"/>
  <c r="L135" i="1"/>
  <c r="L141" i="1"/>
  <c r="L155" i="1"/>
  <c r="L122" i="1"/>
  <c r="L118" i="1"/>
  <c r="L144" i="1"/>
  <c r="L138" i="1"/>
  <c r="AS121" i="1"/>
  <c r="AS120" i="1"/>
  <c r="AS119" i="1"/>
  <c r="AS118" i="1"/>
  <c r="AS117" i="1"/>
  <c r="AS136" i="1"/>
  <c r="AS135" i="1"/>
  <c r="AS134" i="1"/>
  <c r="AS133" i="1"/>
  <c r="AS132" i="1"/>
  <c r="AS131" i="1"/>
  <c r="AS130" i="1"/>
  <c r="AS129" i="1"/>
  <c r="AS128" i="1"/>
  <c r="AS127" i="1"/>
  <c r="AS146" i="1"/>
  <c r="AS145" i="1"/>
  <c r="AS144" i="1"/>
  <c r="AS143" i="1"/>
  <c r="AS142" i="1"/>
  <c r="AS141" i="1"/>
  <c r="AS140" i="1"/>
  <c r="AS139" i="1"/>
  <c r="AS138" i="1"/>
  <c r="AS137" i="1"/>
  <c r="AS156" i="1"/>
  <c r="AS155" i="1"/>
  <c r="AS154" i="1"/>
  <c r="AS153" i="1"/>
  <c r="AS152" i="1"/>
  <c r="AS151" i="1"/>
  <c r="R120" i="1"/>
  <c r="R117" i="1"/>
  <c r="R136" i="1"/>
  <c r="R132" i="1"/>
  <c r="R128" i="1"/>
  <c r="R144" i="1"/>
  <c r="R140" i="1"/>
  <c r="R137" i="1"/>
  <c r="R155" i="1"/>
  <c r="R151" i="1"/>
  <c r="R148" i="1"/>
  <c r="R164" i="1"/>
  <c r="R158" i="1"/>
  <c r="L190" i="1"/>
  <c r="L184" i="1"/>
  <c r="R205" i="1"/>
  <c r="L297" i="1"/>
  <c r="R203" i="1"/>
  <c r="L219" i="1"/>
  <c r="R200" i="1"/>
  <c r="R197" i="1"/>
  <c r="R216" i="1"/>
  <c r="L211" i="1"/>
  <c r="L227" i="1"/>
  <c r="R277" i="1"/>
  <c r="R274" i="1"/>
  <c r="R271" i="1"/>
  <c r="L267" i="1"/>
  <c r="R278" i="1"/>
  <c r="R296" i="1"/>
  <c r="L283" i="1"/>
  <c r="R267" i="1"/>
  <c r="L292" i="1"/>
  <c r="L295" i="1"/>
  <c r="AS270" i="1"/>
  <c r="AS269" i="1"/>
  <c r="AS268" i="1"/>
  <c r="AS267" i="1"/>
  <c r="AS286" i="1"/>
  <c r="AS285" i="1"/>
  <c r="AS284" i="1"/>
  <c r="AS283" i="1"/>
  <c r="AS282" i="1"/>
  <c r="AS281" i="1"/>
  <c r="AS280" i="1"/>
  <c r="AS279" i="1"/>
  <c r="AS278" i="1"/>
  <c r="AS277" i="1"/>
  <c r="AS296" i="1"/>
  <c r="AS295" i="1"/>
  <c r="AS294" i="1"/>
  <c r="AS293" i="1"/>
  <c r="AS292" i="1"/>
  <c r="R294" i="1"/>
  <c r="L300" i="1"/>
  <c r="L288" i="1"/>
  <c r="AZ13" i="7"/>
  <c r="R269" i="1" l="1"/>
  <c r="R301" i="1"/>
  <c r="R295" i="1"/>
  <c r="R284" i="1"/>
  <c r="R258" i="1"/>
  <c r="R204" i="1"/>
  <c r="L221" i="1"/>
  <c r="L180" i="1"/>
  <c r="R160" i="1"/>
  <c r="R165" i="1"/>
  <c r="R149" i="1"/>
  <c r="R152" i="1"/>
  <c r="R156" i="1"/>
  <c r="R141" i="1"/>
  <c r="R145" i="1"/>
  <c r="R129" i="1"/>
  <c r="R133" i="1"/>
  <c r="R121" i="1"/>
  <c r="L146" i="1"/>
  <c r="L130" i="1"/>
  <c r="L134" i="1"/>
  <c r="L143" i="1"/>
  <c r="L127" i="1"/>
  <c r="L131" i="1"/>
  <c r="L112" i="1"/>
  <c r="L71" i="1"/>
  <c r="L124" i="1"/>
  <c r="L93" i="1"/>
  <c r="L59" i="1"/>
  <c r="L85" i="1"/>
  <c r="L115" i="1"/>
  <c r="L61" i="1"/>
  <c r="R9" i="1"/>
  <c r="L19" i="1"/>
  <c r="L55" i="1"/>
  <c r="R58" i="1"/>
  <c r="R80" i="1"/>
  <c r="L16" i="1"/>
  <c r="L8" i="1"/>
  <c r="R18" i="1"/>
  <c r="L40" i="1"/>
  <c r="L52" i="1"/>
  <c r="R64" i="1"/>
  <c r="R82" i="1"/>
  <c r="R11" i="1"/>
  <c r="L21" i="1"/>
  <c r="R39" i="1"/>
  <c r="R60" i="1"/>
  <c r="R72" i="1"/>
  <c r="R94" i="1"/>
  <c r="R12" i="1"/>
  <c r="R24" i="1"/>
  <c r="L46" i="1"/>
  <c r="L38" i="1"/>
  <c r="L50" i="1"/>
  <c r="L70" i="1"/>
  <c r="R90" i="1"/>
  <c r="L113" i="1"/>
  <c r="R59" i="1"/>
  <c r="R83" i="1"/>
  <c r="R87" i="1"/>
  <c r="L111" i="1"/>
  <c r="R73" i="1"/>
  <c r="R93" i="1"/>
  <c r="R111" i="1"/>
  <c r="R107" i="1"/>
  <c r="R123" i="1"/>
  <c r="L147" i="1"/>
  <c r="L163" i="1"/>
  <c r="L159" i="1"/>
  <c r="L195" i="1"/>
  <c r="R181" i="1"/>
  <c r="L254" i="1"/>
  <c r="R190" i="1"/>
  <c r="L199" i="1"/>
  <c r="L215" i="1"/>
  <c r="R195" i="1"/>
  <c r="L204" i="1"/>
  <c r="R184" i="1"/>
  <c r="R211" i="1"/>
  <c r="R234" i="1"/>
  <c r="L222" i="1"/>
  <c r="R230" i="1"/>
  <c r="L265" i="1"/>
  <c r="L213" i="1"/>
  <c r="L249" i="1"/>
  <c r="R226" i="1"/>
  <c r="L217" i="1"/>
  <c r="R248" i="1"/>
  <c r="L218" i="1"/>
  <c r="L230" i="1"/>
  <c r="L251" i="1"/>
  <c r="L263" i="1"/>
  <c r="R225" i="1"/>
  <c r="R229" i="1"/>
  <c r="L248" i="1"/>
  <c r="L259" i="1"/>
  <c r="L296" i="1"/>
  <c r="L284" i="1"/>
  <c r="R291" i="1"/>
  <c r="L275" i="1"/>
  <c r="L291" i="1"/>
  <c r="L304" i="1"/>
  <c r="R303" i="1"/>
  <c r="R299" i="1"/>
  <c r="L306" i="1"/>
  <c r="R280" i="1"/>
  <c r="L281" i="1"/>
  <c r="L231" i="1"/>
  <c r="R201" i="1"/>
  <c r="L206" i="1"/>
  <c r="R292" i="1"/>
  <c r="L293" i="1"/>
  <c r="R283" i="1"/>
  <c r="R282" i="1"/>
  <c r="L270" i="1"/>
  <c r="L232" i="1"/>
  <c r="L228" i="1"/>
  <c r="L224" i="1"/>
  <c r="L196" i="1"/>
  <c r="R161" i="1"/>
  <c r="R150" i="1"/>
  <c r="R142" i="1"/>
  <c r="R130" i="1"/>
  <c r="R118" i="1"/>
  <c r="R122" i="1"/>
  <c r="L154" i="1"/>
  <c r="L140" i="1"/>
  <c r="L136" i="1"/>
  <c r="L120" i="1"/>
  <c r="L151" i="1"/>
  <c r="L153" i="1"/>
  <c r="L137" i="1"/>
  <c r="L133" i="1"/>
  <c r="L117" i="1"/>
  <c r="L121" i="1"/>
  <c r="L89" i="1"/>
  <c r="L65" i="1"/>
  <c r="L126" i="1"/>
  <c r="L77" i="1"/>
  <c r="L69" i="1"/>
  <c r="L95" i="1"/>
  <c r="L15" i="1"/>
  <c r="R25" i="1"/>
  <c r="L43" i="1"/>
  <c r="R53" i="1"/>
  <c r="L76" i="1"/>
  <c r="L78" i="1"/>
  <c r="R14" i="1"/>
  <c r="R26" i="1"/>
  <c r="R46" i="1"/>
  <c r="R38" i="1"/>
  <c r="R50" i="1"/>
  <c r="R70" i="1"/>
  <c r="L90" i="1"/>
  <c r="L9" i="1"/>
  <c r="R19" i="1"/>
  <c r="R55" i="1"/>
  <c r="L58" i="1"/>
  <c r="L80" i="1"/>
  <c r="L92" i="1"/>
  <c r="L10" i="1"/>
  <c r="L22" i="1"/>
  <c r="R44" i="1"/>
  <c r="R56" i="1"/>
  <c r="R48" i="1"/>
  <c r="R68" i="1"/>
  <c r="L88" i="1"/>
  <c r="L109" i="1"/>
  <c r="R75" i="1"/>
  <c r="R79" i="1"/>
  <c r="R115" i="1"/>
  <c r="L107" i="1"/>
  <c r="R69" i="1"/>
  <c r="R89" i="1"/>
  <c r="R110" i="1"/>
  <c r="R126" i="1"/>
  <c r="L150" i="1"/>
  <c r="L166" i="1"/>
  <c r="L162" i="1"/>
  <c r="L158" i="1"/>
  <c r="L183" i="1"/>
  <c r="L187" i="1"/>
  <c r="R186" i="1"/>
  <c r="R206" i="1"/>
  <c r="L198" i="1"/>
  <c r="L214" i="1"/>
  <c r="L193" i="1"/>
  <c r="R207" i="1"/>
  <c r="R180" i="1"/>
  <c r="R208" i="1"/>
  <c r="L212" i="1"/>
  <c r="L220" i="1"/>
  <c r="L229" i="1"/>
  <c r="R263" i="1"/>
  <c r="L208" i="1"/>
  <c r="R222" i="1"/>
  <c r="R251" i="1"/>
  <c r="L266" i="1"/>
  <c r="R236" i="1"/>
  <c r="R228" i="1"/>
  <c r="R249" i="1"/>
  <c r="R261" i="1"/>
  <c r="R221" i="1"/>
  <c r="L256" i="1"/>
  <c r="R266" i="1"/>
  <c r="L258" i="1"/>
  <c r="L260" i="1"/>
  <c r="L286" i="1"/>
  <c r="L280" i="1"/>
  <c r="L274" i="1"/>
  <c r="L290" i="1"/>
  <c r="P303" i="1"/>
  <c r="R306" i="1"/>
  <c r="R302" i="1"/>
  <c r="L305" i="1"/>
  <c r="R281" i="1"/>
  <c r="R286" i="1"/>
  <c r="L194" i="1"/>
  <c r="L302" i="1"/>
  <c r="R285" i="1"/>
  <c r="L269" i="1"/>
  <c r="R279" i="1"/>
  <c r="L223" i="1"/>
  <c r="R198" i="1"/>
  <c r="L209" i="1"/>
  <c r="L182" i="1"/>
  <c r="L181" i="1"/>
  <c r="R166" i="1"/>
  <c r="R153" i="1"/>
  <c r="R146" i="1"/>
  <c r="R134" i="1"/>
  <c r="L289" i="1"/>
  <c r="R293" i="1"/>
  <c r="L294" i="1"/>
  <c r="R270" i="1"/>
  <c r="R268" i="1"/>
  <c r="L285" i="1"/>
  <c r="R259" i="1"/>
  <c r="R276" i="1"/>
  <c r="L207" i="1"/>
  <c r="R215" i="1"/>
  <c r="R199" i="1"/>
  <c r="L235" i="1"/>
  <c r="R202" i="1"/>
  <c r="L225" i="1"/>
  <c r="L188" i="1"/>
  <c r="L178" i="1"/>
  <c r="L186" i="1"/>
  <c r="R163" i="1"/>
  <c r="R147" i="1"/>
  <c r="N159" i="1"/>
  <c r="R154" i="1"/>
  <c r="R139" i="1"/>
  <c r="R143" i="1"/>
  <c r="R127" i="1"/>
  <c r="R131" i="1"/>
  <c r="R135" i="1"/>
  <c r="R119" i="1"/>
  <c r="N162" i="1"/>
  <c r="L156" i="1"/>
  <c r="L142" i="1"/>
  <c r="L128" i="1"/>
  <c r="L132" i="1"/>
  <c r="L152" i="1"/>
  <c r="L139" i="1"/>
  <c r="L145" i="1"/>
  <c r="L129" i="1"/>
  <c r="L123" i="1"/>
  <c r="L83" i="1"/>
  <c r="L110" i="1"/>
  <c r="L81" i="1"/>
  <c r="L63" i="1"/>
  <c r="L79" i="1"/>
  <c r="R13" i="1"/>
  <c r="L23" i="1"/>
  <c r="R41" i="1"/>
  <c r="L51" i="1"/>
  <c r="R74" i="1"/>
  <c r="R96" i="1"/>
  <c r="L12" i="1"/>
  <c r="R22" i="1"/>
  <c r="L44" i="1"/>
  <c r="L56" i="1"/>
  <c r="L48" i="1"/>
  <c r="L68" i="1"/>
  <c r="R15" i="1"/>
  <c r="L25" i="1"/>
  <c r="R43" i="1"/>
  <c r="L53" i="1"/>
  <c r="R76" i="1"/>
  <c r="R78" i="1"/>
  <c r="R16" i="1"/>
  <c r="R8" i="1"/>
  <c r="R20" i="1"/>
  <c r="L42" i="1"/>
  <c r="L54" i="1"/>
  <c r="L66" i="1"/>
  <c r="L86" i="1"/>
  <c r="L116" i="1"/>
  <c r="L125" i="1"/>
  <c r="R71" i="1"/>
  <c r="R95" i="1"/>
  <c r="R116" i="1"/>
  <c r="R65" i="1"/>
  <c r="R85" i="1"/>
  <c r="R113" i="1"/>
  <c r="R109" i="1"/>
  <c r="R125" i="1"/>
  <c r="L149" i="1"/>
  <c r="L165" i="1"/>
  <c r="L161" i="1"/>
  <c r="R185" i="1"/>
  <c r="R193" i="1"/>
  <c r="L202" i="1"/>
  <c r="R182" i="1"/>
  <c r="L201" i="1"/>
  <c r="L197" i="1"/>
  <c r="R183" i="1"/>
  <c r="R191" i="1"/>
  <c r="R223" i="1"/>
  <c r="R196" i="1"/>
  <c r="R224" i="1"/>
  <c r="L210" i="1"/>
  <c r="L236" i="1"/>
  <c r="L261" i="1"/>
  <c r="N235" i="1"/>
  <c r="R212" i="1"/>
  <c r="R219" i="1"/>
  <c r="R264" i="1"/>
  <c r="L234" i="1"/>
  <c r="L255" i="1"/>
  <c r="R213" i="1"/>
  <c r="R217" i="1"/>
  <c r="R254" i="1"/>
  <c r="L264" i="1"/>
  <c r="L268" i="1"/>
  <c r="R275" i="1"/>
  <c r="L279" i="1"/>
  <c r="L273" i="1"/>
  <c r="R289" i="1"/>
  <c r="R290" i="1"/>
  <c r="R305" i="1"/>
  <c r="AR22" i="7"/>
  <c r="AR24" i="7"/>
  <c r="AR23" i="7"/>
  <c r="AR19" i="7"/>
  <c r="AR25" i="7"/>
  <c r="AR21" i="7"/>
  <c r="AR18" i="7"/>
  <c r="AR20" i="7"/>
  <c r="F15" i="7" l="1"/>
  <c r="G15" i="7" s="1"/>
  <c r="F14" i="7" l="1"/>
  <c r="G14" i="7"/>
  <c r="H15" i="7"/>
  <c r="I15" i="7" l="1"/>
  <c r="H14" i="7"/>
  <c r="J15" i="7" l="1"/>
  <c r="I14" i="7"/>
  <c r="K15" i="7" l="1"/>
  <c r="J14" i="7"/>
  <c r="L15" i="7" l="1"/>
  <c r="K14" i="7"/>
  <c r="M15" i="7" l="1"/>
  <c r="L14" i="7"/>
  <c r="N15" i="7" l="1"/>
  <c r="M14" i="7"/>
  <c r="O15" i="7" l="1"/>
  <c r="N14" i="7"/>
  <c r="P15" i="7" l="1"/>
  <c r="O14" i="7"/>
  <c r="Q15" i="7" l="1"/>
  <c r="P14" i="7"/>
  <c r="R15" i="7" l="1"/>
  <c r="Q14" i="7"/>
  <c r="S15" i="7" l="1"/>
  <c r="R14" i="7"/>
  <c r="T15" i="7" l="1"/>
  <c r="S14" i="7"/>
  <c r="U15" i="7" l="1"/>
  <c r="T14" i="7"/>
  <c r="V15" i="7" l="1"/>
  <c r="U14" i="7"/>
  <c r="W15" i="7" l="1"/>
  <c r="V14" i="7"/>
  <c r="X15" i="7" l="1"/>
  <c r="W14" i="7"/>
  <c r="Y15" i="7" l="1"/>
  <c r="X14" i="7"/>
  <c r="Z15" i="7" l="1"/>
  <c r="Y14" i="7"/>
  <c r="AA15" i="7" l="1"/>
  <c r="Z14" i="7"/>
  <c r="AB15" i="7" l="1"/>
  <c r="AA14" i="7"/>
  <c r="AC15" i="7" l="1"/>
  <c r="AB14" i="7"/>
  <c r="AD15" i="7" l="1"/>
  <c r="AC14" i="7"/>
  <c r="AE15" i="7" l="1"/>
  <c r="AD14" i="7"/>
  <c r="AF15" i="7" l="1"/>
  <c r="AE14" i="7"/>
  <c r="AG15" i="7" l="1"/>
  <c r="AF14" i="7"/>
  <c r="AH15" i="7" l="1"/>
  <c r="AG14" i="7"/>
  <c r="AI15" i="7" l="1"/>
  <c r="AH14" i="7"/>
  <c r="AJ15" i="7" l="1"/>
  <c r="AI14" i="7"/>
  <c r="AJ14" i="7" l="1"/>
  <c r="C5" i="7" l="1"/>
  <c r="C6" i="7"/>
  <c r="X4" i="1" l="1"/>
  <c r="AV13" i="7" l="1"/>
  <c r="K4" i="4"/>
  <c r="AK303" i="1" l="1"/>
  <c r="AK288" i="1"/>
  <c r="AK235" i="1"/>
  <c r="AK157" i="1"/>
  <c r="AK24" i="1"/>
  <c r="AK7" i="1"/>
  <c r="AK49" i="1"/>
  <c r="AK45" i="1"/>
  <c r="AK17" i="1"/>
  <c r="AK84" i="1"/>
  <c r="AK179" i="1"/>
  <c r="AK202" i="1"/>
  <c r="AK298" i="1"/>
  <c r="AK62" i="1"/>
  <c r="AK178" i="1"/>
  <c r="AK88" i="1"/>
  <c r="AK162" i="1"/>
  <c r="AK189" i="1"/>
  <c r="Y4" i="1"/>
  <c r="N299" i="1" l="1"/>
  <c r="N301" i="1"/>
  <c r="N303" i="1"/>
  <c r="N305" i="1"/>
  <c r="N287" i="1"/>
  <c r="P304" i="1"/>
  <c r="P302" i="1"/>
  <c r="N289" i="1"/>
  <c r="P306" i="1"/>
  <c r="P272" i="1"/>
  <c r="P274" i="1"/>
  <c r="P276" i="1"/>
  <c r="P279" i="1"/>
  <c r="P267" i="1"/>
  <c r="P285" i="1"/>
  <c r="N262" i="1"/>
  <c r="N266" i="1"/>
  <c r="N250" i="1"/>
  <c r="N254" i="1"/>
  <c r="N238" i="1"/>
  <c r="N242" i="1"/>
  <c r="N245" i="1"/>
  <c r="N233" i="1"/>
  <c r="N221" i="1"/>
  <c r="N209" i="1"/>
  <c r="L282" i="1"/>
  <c r="N261" i="1"/>
  <c r="N265" i="1"/>
  <c r="N249" i="1"/>
  <c r="N253" i="1"/>
  <c r="N237" i="1"/>
  <c r="N241" i="1"/>
  <c r="L246" i="1"/>
  <c r="N264" i="1"/>
  <c r="N248" i="1"/>
  <c r="P237" i="1"/>
  <c r="N234" i="1"/>
  <c r="N226" i="1"/>
  <c r="P261" i="1"/>
  <c r="N251" i="1"/>
  <c r="P238" i="1"/>
  <c r="P229" i="1"/>
  <c r="P198" i="1"/>
  <c r="P202" i="1"/>
  <c r="N247" i="1"/>
  <c r="N256" i="1"/>
  <c r="N244" i="1"/>
  <c r="N230" i="1"/>
  <c r="N188" i="1"/>
  <c r="N196" i="1"/>
  <c r="N184" i="1"/>
  <c r="P209" i="1"/>
  <c r="R179" i="1"/>
  <c r="P185" i="1"/>
  <c r="P169" i="1"/>
  <c r="P225" i="1"/>
  <c r="R178" i="1"/>
  <c r="R174" i="1"/>
  <c r="N246" i="1"/>
  <c r="N177" i="1"/>
  <c r="L167" i="1"/>
  <c r="L171" i="1"/>
  <c r="N172" i="1"/>
  <c r="L173" i="1"/>
  <c r="R176" i="1"/>
  <c r="N173" i="1"/>
  <c r="P151" i="1"/>
  <c r="R101" i="1"/>
  <c r="P114" i="1"/>
  <c r="P98" i="1"/>
  <c r="R99" i="1"/>
  <c r="P116" i="1"/>
  <c r="P100" i="1"/>
  <c r="P104" i="1"/>
  <c r="P88" i="1"/>
  <c r="R84" i="1"/>
  <c r="R62" i="1"/>
  <c r="P66" i="1"/>
  <c r="P50" i="1"/>
  <c r="P54" i="1"/>
  <c r="P38" i="1"/>
  <c r="P42" i="1"/>
  <c r="P46" i="1"/>
  <c r="P30" i="1"/>
  <c r="P34" i="1"/>
  <c r="P18" i="1"/>
  <c r="P22" i="1"/>
  <c r="P26" i="1"/>
  <c r="P10" i="1"/>
  <c r="P14" i="1"/>
  <c r="N104" i="1"/>
  <c r="N94" i="1"/>
  <c r="N78" i="1"/>
  <c r="N72" i="1"/>
  <c r="N76" i="1"/>
  <c r="N60" i="1"/>
  <c r="L49" i="1"/>
  <c r="L37" i="1"/>
  <c r="L45" i="1"/>
  <c r="L29" i="1"/>
  <c r="L33" i="1"/>
  <c r="L17" i="1"/>
  <c r="N100" i="1"/>
  <c r="P90" i="1"/>
  <c r="P84" i="1"/>
  <c r="P68" i="1"/>
  <c r="P62" i="1"/>
  <c r="R30" i="1"/>
  <c r="R34" i="1"/>
  <c r="N88" i="1"/>
  <c r="P94" i="1"/>
  <c r="P78" i="1"/>
  <c r="P72" i="1"/>
  <c r="P76" i="1"/>
  <c r="P60" i="1"/>
  <c r="R49" i="1"/>
  <c r="R37" i="1"/>
  <c r="R45" i="1"/>
  <c r="R29" i="1"/>
  <c r="R33" i="1"/>
  <c r="R17" i="1"/>
  <c r="P75" i="1"/>
  <c r="L103" i="1"/>
  <c r="L97" i="1"/>
  <c r="P125" i="1"/>
  <c r="P105" i="1"/>
  <c r="P57" i="1"/>
  <c r="P95" i="1"/>
  <c r="P99" i="1"/>
  <c r="L105" i="1"/>
  <c r="P140" i="1"/>
  <c r="P123" i="1"/>
  <c r="P141" i="1"/>
  <c r="N121" i="1"/>
  <c r="N119" i="1"/>
  <c r="N117" i="1"/>
  <c r="N135" i="1"/>
  <c r="N133" i="1"/>
  <c r="N131" i="1"/>
  <c r="N129" i="1"/>
  <c r="N127" i="1"/>
  <c r="N145" i="1"/>
  <c r="N143" i="1"/>
  <c r="N141" i="1"/>
  <c r="N139" i="1"/>
  <c r="N137" i="1"/>
  <c r="N155" i="1"/>
  <c r="N153" i="1"/>
  <c r="N151" i="1"/>
  <c r="N166" i="1"/>
  <c r="R138" i="1"/>
  <c r="P148" i="1"/>
  <c r="N164" i="1"/>
  <c r="P159" i="1"/>
  <c r="N149" i="1"/>
  <c r="P162" i="1"/>
  <c r="N158" i="1"/>
  <c r="R159" i="1"/>
  <c r="L176" i="1"/>
  <c r="P172" i="1"/>
  <c r="P192" i="1"/>
  <c r="L170" i="1"/>
  <c r="P180" i="1"/>
  <c r="P178" i="1"/>
  <c r="L192" i="1"/>
  <c r="P204" i="1"/>
  <c r="N198" i="1"/>
  <c r="P203" i="1"/>
  <c r="P213" i="1"/>
  <c r="N259" i="1"/>
  <c r="P219" i="1"/>
  <c r="N273" i="1"/>
  <c r="P231" i="1"/>
  <c r="N275" i="1"/>
  <c r="P282" i="1"/>
  <c r="N295" i="1"/>
  <c r="N292" i="1"/>
  <c r="P297" i="1"/>
  <c r="N215" i="1"/>
  <c r="P223" i="1"/>
  <c r="P280" i="1"/>
  <c r="P290" i="1"/>
  <c r="N271" i="1"/>
  <c r="N283" i="1"/>
  <c r="P301" i="1"/>
  <c r="N290" i="1"/>
  <c r="L303" i="1"/>
  <c r="R288" i="1"/>
  <c r="P291" i="1"/>
  <c r="P296" i="1"/>
  <c r="P271" i="1"/>
  <c r="S271" i="1" s="1"/>
  <c r="N272" i="1"/>
  <c r="P260" i="1"/>
  <c r="P259" i="1"/>
  <c r="S259" i="1" s="1"/>
  <c r="R262" i="1"/>
  <c r="R238" i="1"/>
  <c r="R242" i="1"/>
  <c r="R245" i="1"/>
  <c r="P283" i="1"/>
  <c r="R237" i="1"/>
  <c r="R241" i="1"/>
  <c r="P246" i="1"/>
  <c r="P230" i="1"/>
  <c r="P234" i="1"/>
  <c r="P218" i="1"/>
  <c r="N274" i="1"/>
  <c r="P249" i="1"/>
  <c r="N240" i="1"/>
  <c r="R235" i="1"/>
  <c r="N222" i="1"/>
  <c r="N211" i="1"/>
  <c r="P265" i="1"/>
  <c r="S265" i="1" s="1"/>
  <c r="P253" i="1"/>
  <c r="R239" i="1"/>
  <c r="P208" i="1"/>
  <c r="P215" i="1"/>
  <c r="P199" i="1"/>
  <c r="R252" i="1"/>
  <c r="L238" i="1"/>
  <c r="L245" i="1"/>
  <c r="P226" i="1"/>
  <c r="P212" i="1"/>
  <c r="R188" i="1"/>
  <c r="N227" i="1"/>
  <c r="N224" i="1"/>
  <c r="P214" i="1"/>
  <c r="L189" i="1"/>
  <c r="N183" i="1"/>
  <c r="N167" i="1"/>
  <c r="N263" i="1"/>
  <c r="N206" i="1"/>
  <c r="N194" i="1"/>
  <c r="N182" i="1"/>
  <c r="N170" i="1"/>
  <c r="P187" i="1"/>
  <c r="L179" i="1"/>
  <c r="R169" i="1"/>
  <c r="N181" i="1"/>
  <c r="P171" i="1"/>
  <c r="P167" i="1"/>
  <c r="N175" i="1"/>
  <c r="P173" i="1"/>
  <c r="N157" i="1"/>
  <c r="R173" i="1"/>
  <c r="P157" i="1"/>
  <c r="N124" i="1"/>
  <c r="N126" i="1"/>
  <c r="N108" i="1"/>
  <c r="N110" i="1"/>
  <c r="N112" i="1"/>
  <c r="N97" i="1"/>
  <c r="N105" i="1"/>
  <c r="N93" i="1"/>
  <c r="N81" i="1"/>
  <c r="N69" i="1"/>
  <c r="N57" i="1"/>
  <c r="N65" i="1"/>
  <c r="P110" i="1"/>
  <c r="N116" i="1"/>
  <c r="N115" i="1"/>
  <c r="N103" i="1"/>
  <c r="N91" i="1"/>
  <c r="N79" i="1"/>
  <c r="N67" i="1"/>
  <c r="N75" i="1"/>
  <c r="N63" i="1"/>
  <c r="P108" i="1"/>
  <c r="N114" i="1"/>
  <c r="N98" i="1"/>
  <c r="N102" i="1"/>
  <c r="N106" i="1"/>
  <c r="L102" i="1"/>
  <c r="N48" i="1"/>
  <c r="N52" i="1"/>
  <c r="N56" i="1"/>
  <c r="N40" i="1"/>
  <c r="N44" i="1"/>
  <c r="N28" i="1"/>
  <c r="N32" i="1"/>
  <c r="N36" i="1"/>
  <c r="N20" i="1"/>
  <c r="N24" i="1"/>
  <c r="N8" i="1"/>
  <c r="N12" i="1"/>
  <c r="N16" i="1"/>
  <c r="P106" i="1"/>
  <c r="P49" i="1"/>
  <c r="P53" i="1"/>
  <c r="P37" i="1"/>
  <c r="P41" i="1"/>
  <c r="P45" i="1"/>
  <c r="P29" i="1"/>
  <c r="P33" i="1"/>
  <c r="P17" i="1"/>
  <c r="P21" i="1"/>
  <c r="P25" i="1"/>
  <c r="P9" i="1"/>
  <c r="P13" i="1"/>
  <c r="L106" i="1"/>
  <c r="N82" i="1"/>
  <c r="N86" i="1"/>
  <c r="N70" i="1"/>
  <c r="N64" i="1"/>
  <c r="L28" i="1"/>
  <c r="L32" i="1"/>
  <c r="L36" i="1"/>
  <c r="L24" i="1"/>
  <c r="N92" i="1"/>
  <c r="N96" i="1"/>
  <c r="N80" i="1"/>
  <c r="N74" i="1"/>
  <c r="N58" i="1"/>
  <c r="L47" i="1"/>
  <c r="L27" i="1"/>
  <c r="L31" i="1"/>
  <c r="L35" i="1"/>
  <c r="L7" i="1"/>
  <c r="P81" i="1"/>
  <c r="P93" i="1"/>
  <c r="P67" i="1"/>
  <c r="S67" i="1" s="1"/>
  <c r="P111" i="1"/>
  <c r="P103" i="1"/>
  <c r="P97" i="1"/>
  <c r="P85" i="1"/>
  <c r="P130" i="1"/>
  <c r="P128" i="1"/>
  <c r="P146" i="1"/>
  <c r="P144" i="1"/>
  <c r="P142" i="1"/>
  <c r="P143" i="1"/>
  <c r="P153" i="1"/>
  <c r="P152" i="1"/>
  <c r="N150" i="1"/>
  <c r="P163" i="1"/>
  <c r="N163" i="1"/>
  <c r="P176" i="1"/>
  <c r="N148" i="1"/>
  <c r="P161" i="1"/>
  <c r="P158" i="1"/>
  <c r="P166" i="1"/>
  <c r="R162" i="1"/>
  <c r="L174" i="1"/>
  <c r="P184" i="1"/>
  <c r="P182" i="1"/>
  <c r="P168" i="1"/>
  <c r="P186" i="1"/>
  <c r="P196" i="1"/>
  <c r="N201" i="1"/>
  <c r="N197" i="1"/>
  <c r="P205" i="1"/>
  <c r="P236" i="1"/>
  <c r="N202" i="1"/>
  <c r="P235" i="1"/>
  <c r="P211" i="1"/>
  <c r="P227" i="1"/>
  <c r="R272" i="1"/>
  <c r="N257" i="1"/>
  <c r="N293" i="1"/>
  <c r="P289" i="1"/>
  <c r="N270" i="1"/>
  <c r="N268" i="1"/>
  <c r="N286" i="1"/>
  <c r="N284" i="1"/>
  <c r="N282" i="1"/>
  <c r="N280" i="1"/>
  <c r="N278" i="1"/>
  <c r="N296" i="1"/>
  <c r="L298" i="1"/>
  <c r="P305" i="1"/>
  <c r="N297" i="1"/>
  <c r="N165" i="1"/>
  <c r="L168" i="1"/>
  <c r="N203" i="1"/>
  <c r="N269" i="1"/>
  <c r="N281" i="1"/>
  <c r="N298" i="1"/>
  <c r="N300" i="1"/>
  <c r="N302" i="1"/>
  <c r="N304" i="1"/>
  <c r="N306" i="1"/>
  <c r="P300" i="1"/>
  <c r="P298" i="1"/>
  <c r="P287" i="1"/>
  <c r="P293" i="1"/>
  <c r="P292" i="1"/>
  <c r="S292" i="1" s="1"/>
  <c r="P273" i="1"/>
  <c r="P275" i="1"/>
  <c r="P257" i="1"/>
  <c r="P277" i="1"/>
  <c r="P281" i="1"/>
  <c r="P269" i="1"/>
  <c r="L252" i="1"/>
  <c r="L240" i="1"/>
  <c r="L244" i="1"/>
  <c r="N229" i="1"/>
  <c r="N217" i="1"/>
  <c r="N225" i="1"/>
  <c r="N213" i="1"/>
  <c r="P270" i="1"/>
  <c r="L239" i="1"/>
  <c r="L243" i="1"/>
  <c r="N228" i="1"/>
  <c r="N232" i="1"/>
  <c r="N236" i="1"/>
  <c r="N220" i="1"/>
  <c r="L262" i="1"/>
  <c r="L242" i="1"/>
  <c r="N207" i="1"/>
  <c r="N212" i="1"/>
  <c r="R244" i="1"/>
  <c r="N218" i="1"/>
  <c r="P216" i="1"/>
  <c r="P200" i="1"/>
  <c r="N239" i="1"/>
  <c r="R246" i="1"/>
  <c r="R240" i="1"/>
  <c r="P217" i="1"/>
  <c r="N192" i="1"/>
  <c r="N180" i="1"/>
  <c r="N168" i="1"/>
  <c r="P228" i="1"/>
  <c r="P189" i="1"/>
  <c r="P193" i="1"/>
  <c r="P177" i="1"/>
  <c r="R167" i="1"/>
  <c r="N252" i="1"/>
  <c r="R170" i="1"/>
  <c r="L241" i="1"/>
  <c r="R189" i="1"/>
  <c r="N189" i="1"/>
  <c r="P183" i="1"/>
  <c r="N193" i="1"/>
  <c r="N171" i="1"/>
  <c r="R175" i="1"/>
  <c r="P174" i="1"/>
  <c r="R157" i="1"/>
  <c r="L175" i="1"/>
  <c r="L157" i="1"/>
  <c r="R97" i="1"/>
  <c r="R105" i="1"/>
  <c r="R81" i="1"/>
  <c r="R57" i="1"/>
  <c r="R103" i="1"/>
  <c r="R98" i="1"/>
  <c r="R102" i="1"/>
  <c r="R106" i="1"/>
  <c r="R104" i="1"/>
  <c r="P82" i="1"/>
  <c r="P86" i="1"/>
  <c r="P70" i="1"/>
  <c r="P64" i="1"/>
  <c r="R28" i="1"/>
  <c r="R32" i="1"/>
  <c r="R36" i="1"/>
  <c r="N47" i="1"/>
  <c r="N51" i="1"/>
  <c r="N55" i="1"/>
  <c r="N39" i="1"/>
  <c r="N43" i="1"/>
  <c r="N27" i="1"/>
  <c r="N31" i="1"/>
  <c r="N35" i="1"/>
  <c r="N19" i="1"/>
  <c r="N23" i="1"/>
  <c r="N7" i="1"/>
  <c r="N11" i="1"/>
  <c r="N15" i="1"/>
  <c r="R88" i="1"/>
  <c r="P48" i="1"/>
  <c r="P52" i="1"/>
  <c r="P56" i="1"/>
  <c r="P40" i="1"/>
  <c r="P44" i="1"/>
  <c r="P28" i="1"/>
  <c r="P32" i="1"/>
  <c r="P36" i="1"/>
  <c r="P20" i="1"/>
  <c r="P24" i="1"/>
  <c r="P8" i="1"/>
  <c r="P12" i="1"/>
  <c r="P16" i="1"/>
  <c r="R92" i="1"/>
  <c r="P47" i="1"/>
  <c r="P51" i="1"/>
  <c r="P55" i="1"/>
  <c r="P39" i="1"/>
  <c r="P43" i="1"/>
  <c r="P27" i="1"/>
  <c r="P31" i="1"/>
  <c r="P35" i="1"/>
  <c r="P19" i="1"/>
  <c r="P23" i="1"/>
  <c r="P7" i="1"/>
  <c r="P11" i="1"/>
  <c r="P15" i="1"/>
  <c r="P59" i="1"/>
  <c r="P101" i="1"/>
  <c r="P65" i="1"/>
  <c r="P107" i="1"/>
  <c r="P61" i="1"/>
  <c r="P73" i="1"/>
  <c r="P79" i="1"/>
  <c r="L101" i="1"/>
  <c r="P115" i="1"/>
  <c r="P91" i="1"/>
  <c r="P120" i="1"/>
  <c r="P118" i="1"/>
  <c r="P136" i="1"/>
  <c r="P134" i="1"/>
  <c r="P132" i="1"/>
  <c r="P156" i="1"/>
  <c r="P154" i="1"/>
  <c r="P133" i="1"/>
  <c r="P131" i="1"/>
  <c r="P129" i="1"/>
  <c r="P127" i="1"/>
  <c r="P145" i="1"/>
  <c r="P155" i="1"/>
  <c r="N122" i="1"/>
  <c r="N120" i="1"/>
  <c r="N118" i="1"/>
  <c r="N136" i="1"/>
  <c r="N134" i="1"/>
  <c r="N132" i="1"/>
  <c r="N130" i="1"/>
  <c r="N128" i="1"/>
  <c r="N146" i="1"/>
  <c r="N144" i="1"/>
  <c r="N142" i="1"/>
  <c r="N140" i="1"/>
  <c r="N138" i="1"/>
  <c r="N156" i="1"/>
  <c r="N154" i="1"/>
  <c r="N152" i="1"/>
  <c r="P147" i="1"/>
  <c r="N147" i="1"/>
  <c r="P160" i="1"/>
  <c r="P165" i="1"/>
  <c r="P150" i="1"/>
  <c r="N161" i="1"/>
  <c r="P170" i="1"/>
  <c r="P181" i="1"/>
  <c r="S181" i="1" s="1"/>
  <c r="P190" i="1"/>
  <c r="P206" i="1"/>
  <c r="N200" i="1"/>
  <c r="N216" i="1"/>
  <c r="N204" i="1"/>
  <c r="N205" i="1"/>
  <c r="P207" i="1"/>
  <c r="N258" i="1"/>
  <c r="P284" i="1"/>
  <c r="P268" i="1"/>
  <c r="N294" i="1"/>
  <c r="P295" i="1"/>
  <c r="P288" i="1"/>
  <c r="P164" i="1"/>
  <c r="N160" i="1"/>
  <c r="P194" i="1"/>
  <c r="N199" i="1"/>
  <c r="P224" i="1"/>
  <c r="N267" i="1"/>
  <c r="N279" i="1"/>
  <c r="R298" i="1"/>
  <c r="P299" i="1"/>
  <c r="N288" i="1"/>
  <c r="P294" i="1"/>
  <c r="L272" i="1"/>
  <c r="P278" i="1"/>
  <c r="N276" i="1"/>
  <c r="P258" i="1"/>
  <c r="P264" i="1"/>
  <c r="P248" i="1"/>
  <c r="P252" i="1"/>
  <c r="P256" i="1"/>
  <c r="S256" i="1" s="1"/>
  <c r="P240" i="1"/>
  <c r="P244" i="1"/>
  <c r="N260" i="1"/>
  <c r="P263" i="1"/>
  <c r="P247" i="1"/>
  <c r="P251" i="1"/>
  <c r="P255" i="1"/>
  <c r="P239" i="1"/>
  <c r="P243" i="1"/>
  <c r="N291" i="1"/>
  <c r="P262" i="1"/>
  <c r="P266" i="1"/>
  <c r="P250" i="1"/>
  <c r="N255" i="1"/>
  <c r="N243" i="1"/>
  <c r="N223" i="1"/>
  <c r="N210" i="1"/>
  <c r="L237" i="1"/>
  <c r="P245" i="1"/>
  <c r="N219" i="1"/>
  <c r="N214" i="1"/>
  <c r="P197" i="1"/>
  <c r="P201" i="1"/>
  <c r="P254" i="1"/>
  <c r="P241" i="1"/>
  <c r="P233" i="1"/>
  <c r="P222" i="1"/>
  <c r="P210" i="1"/>
  <c r="P242" i="1"/>
  <c r="R192" i="1"/>
  <c r="R168" i="1"/>
  <c r="P221" i="1"/>
  <c r="N208" i="1"/>
  <c r="N187" i="1"/>
  <c r="N191" i="1"/>
  <c r="N195" i="1"/>
  <c r="N179" i="1"/>
  <c r="L185" i="1"/>
  <c r="L169" i="1"/>
  <c r="N231" i="1"/>
  <c r="N190" i="1"/>
  <c r="N178" i="1"/>
  <c r="N186" i="1"/>
  <c r="N174" i="1"/>
  <c r="R243" i="1"/>
  <c r="L203" i="1"/>
  <c r="P191" i="1"/>
  <c r="N185" i="1"/>
  <c r="N169" i="1"/>
  <c r="P195" i="1"/>
  <c r="P179" i="1"/>
  <c r="R171" i="1"/>
  <c r="N176" i="1"/>
  <c r="P175" i="1"/>
  <c r="R172" i="1"/>
  <c r="N123" i="1"/>
  <c r="N125" i="1"/>
  <c r="N107" i="1"/>
  <c r="N109" i="1"/>
  <c r="N111" i="1"/>
  <c r="N113" i="1"/>
  <c r="N101" i="1"/>
  <c r="N89" i="1"/>
  <c r="N77" i="1"/>
  <c r="N85" i="1"/>
  <c r="N73" i="1"/>
  <c r="N61" i="1"/>
  <c r="P126" i="1"/>
  <c r="L98" i="1"/>
  <c r="N99" i="1"/>
  <c r="N87" i="1"/>
  <c r="N95" i="1"/>
  <c r="N83" i="1"/>
  <c r="N71" i="1"/>
  <c r="N59" i="1"/>
  <c r="P124" i="1"/>
  <c r="P112" i="1"/>
  <c r="L100" i="1"/>
  <c r="L104" i="1"/>
  <c r="N90" i="1"/>
  <c r="N84" i="1"/>
  <c r="N68" i="1"/>
  <c r="N62" i="1"/>
  <c r="L30" i="1"/>
  <c r="L34" i="1"/>
  <c r="R100" i="1"/>
  <c r="P92" i="1"/>
  <c r="P96" i="1"/>
  <c r="P80" i="1"/>
  <c r="P74" i="1"/>
  <c r="P58" i="1"/>
  <c r="R47" i="1"/>
  <c r="R27" i="1"/>
  <c r="R31" i="1"/>
  <c r="R35" i="1"/>
  <c r="R7" i="1"/>
  <c r="L84" i="1"/>
  <c r="L62" i="1"/>
  <c r="N66" i="1"/>
  <c r="N50" i="1"/>
  <c r="N54" i="1"/>
  <c r="N38" i="1"/>
  <c r="N42" i="1"/>
  <c r="N46" i="1"/>
  <c r="N30" i="1"/>
  <c r="N34" i="1"/>
  <c r="N18" i="1"/>
  <c r="N22" i="1"/>
  <c r="N26" i="1"/>
  <c r="N10" i="1"/>
  <c r="N14" i="1"/>
  <c r="P102" i="1"/>
  <c r="N49" i="1"/>
  <c r="N53" i="1"/>
  <c r="N37" i="1"/>
  <c r="N41" i="1"/>
  <c r="N45" i="1"/>
  <c r="N29" i="1"/>
  <c r="N33" i="1"/>
  <c r="N17" i="1"/>
  <c r="N21" i="1"/>
  <c r="N25" i="1"/>
  <c r="N9" i="1"/>
  <c r="N13" i="1"/>
  <c r="L57" i="1"/>
  <c r="P77" i="1"/>
  <c r="P87" i="1"/>
  <c r="S87" i="1" s="1"/>
  <c r="L99" i="1"/>
  <c r="P71" i="1"/>
  <c r="P83" i="1"/>
  <c r="P89" i="1"/>
  <c r="P113" i="1"/>
  <c r="P63" i="1"/>
  <c r="P69" i="1"/>
  <c r="P109" i="1"/>
  <c r="P122" i="1"/>
  <c r="P138" i="1"/>
  <c r="P121" i="1"/>
  <c r="P119" i="1"/>
  <c r="P117" i="1"/>
  <c r="P135" i="1"/>
  <c r="P139" i="1"/>
  <c r="P137" i="1"/>
  <c r="P149" i="1"/>
  <c r="P188" i="1"/>
  <c r="L172" i="1"/>
  <c r="P232" i="1"/>
  <c r="P220" i="1"/>
  <c r="P286" i="1"/>
  <c r="N285" i="1"/>
  <c r="N277" i="1"/>
  <c r="S19" i="1" l="1"/>
  <c r="S64" i="1"/>
  <c r="S251" i="1"/>
  <c r="S23" i="1"/>
  <c r="S51" i="1"/>
  <c r="S124" i="1"/>
  <c r="S258" i="1"/>
  <c r="S263" i="1"/>
  <c r="S70" i="1"/>
  <c r="S89" i="1"/>
  <c r="S16" i="1"/>
  <c r="S44" i="1"/>
  <c r="S86" i="1"/>
  <c r="S115" i="1"/>
  <c r="S12" i="1"/>
  <c r="S138" i="1"/>
  <c r="S284" i="1"/>
  <c r="S15" i="1"/>
  <c r="S43" i="1"/>
  <c r="S8" i="1"/>
  <c r="S56" i="1"/>
  <c r="S184" i="1"/>
  <c r="S261" i="1"/>
  <c r="S11" i="1"/>
  <c r="S40" i="1"/>
  <c r="S82" i="1"/>
  <c r="S177" i="1"/>
  <c r="S39" i="1"/>
  <c r="S52" i="1"/>
  <c r="S109" i="1"/>
  <c r="S191" i="1"/>
  <c r="S55" i="1"/>
  <c r="S20" i="1"/>
  <c r="S48" i="1"/>
  <c r="S300" i="1"/>
  <c r="AW13" i="1"/>
  <c r="AY13" i="1"/>
  <c r="AU13" i="1"/>
  <c r="AX13" i="1"/>
  <c r="AV13" i="1"/>
  <c r="AX50" i="1"/>
  <c r="AV50" i="1"/>
  <c r="AU50" i="1"/>
  <c r="AY50" i="1"/>
  <c r="AW50" i="1"/>
  <c r="AX77" i="1"/>
  <c r="AY77" i="1"/>
  <c r="AV77" i="1"/>
  <c r="AU77" i="1"/>
  <c r="AW77" i="1"/>
  <c r="AU195" i="1"/>
  <c r="AX195" i="1"/>
  <c r="AW195" i="1"/>
  <c r="AY195" i="1"/>
  <c r="AV195" i="1"/>
  <c r="AY140" i="1"/>
  <c r="AW140" i="1"/>
  <c r="AU140" i="1"/>
  <c r="AV140" i="1"/>
  <c r="AX140" i="1"/>
  <c r="AU39" i="1"/>
  <c r="AY39" i="1"/>
  <c r="AV39" i="1"/>
  <c r="AW39" i="1"/>
  <c r="AX39" i="1"/>
  <c r="AY213" i="1"/>
  <c r="AW213" i="1"/>
  <c r="AU213" i="1"/>
  <c r="AV213" i="1"/>
  <c r="AX213" i="1"/>
  <c r="AY269" i="1"/>
  <c r="AU269" i="1"/>
  <c r="AV269" i="1"/>
  <c r="AW269" i="1"/>
  <c r="AX269" i="1"/>
  <c r="AW286" i="1"/>
  <c r="AU286" i="1"/>
  <c r="AX286" i="1"/>
  <c r="AY286" i="1"/>
  <c r="AV286" i="1"/>
  <c r="AV36" i="1"/>
  <c r="AW36" i="1"/>
  <c r="AX36" i="1"/>
  <c r="AU36" i="1"/>
  <c r="AY36" i="1"/>
  <c r="AY124" i="1"/>
  <c r="AU124" i="1"/>
  <c r="AV124" i="1"/>
  <c r="AW124" i="1"/>
  <c r="AX124" i="1"/>
  <c r="AX222" i="1"/>
  <c r="AY222" i="1"/>
  <c r="AV222" i="1"/>
  <c r="AU222" i="1"/>
  <c r="AW222" i="1"/>
  <c r="AW259" i="1"/>
  <c r="AX259" i="1"/>
  <c r="AV259" i="1"/>
  <c r="AY259" i="1"/>
  <c r="AU259" i="1"/>
  <c r="AU170" i="1"/>
  <c r="AW170" i="1"/>
  <c r="AX170" i="1"/>
  <c r="AY170" i="1"/>
  <c r="AV170" i="1"/>
  <c r="AY166" i="1"/>
  <c r="AW166" i="1"/>
  <c r="AU166" i="1"/>
  <c r="AV166" i="1"/>
  <c r="AX166" i="1"/>
  <c r="AX133" i="1"/>
  <c r="AV133" i="1"/>
  <c r="AU133" i="1"/>
  <c r="AY133" i="1"/>
  <c r="AW133" i="1"/>
  <c r="AU17" i="1"/>
  <c r="AV17" i="1"/>
  <c r="AW17" i="1"/>
  <c r="AX17" i="1"/>
  <c r="AY17" i="1"/>
  <c r="AY253" i="1"/>
  <c r="AU253" i="1"/>
  <c r="AV253" i="1"/>
  <c r="AW253" i="1"/>
  <c r="AX253" i="1"/>
  <c r="AY277" i="1"/>
  <c r="AU277" i="1"/>
  <c r="AV277" i="1"/>
  <c r="AW277" i="1"/>
  <c r="AX277" i="1"/>
  <c r="AU18" i="1"/>
  <c r="AY18" i="1"/>
  <c r="AV18" i="1"/>
  <c r="AW18" i="1"/>
  <c r="AX18" i="1"/>
  <c r="AV87" i="1"/>
  <c r="AU87" i="1"/>
  <c r="AY87" i="1"/>
  <c r="AW87" i="1"/>
  <c r="AX87" i="1"/>
  <c r="AU109" i="1"/>
  <c r="AY109" i="1"/>
  <c r="AV109" i="1"/>
  <c r="AW109" i="1"/>
  <c r="AX109" i="1"/>
  <c r="AU191" i="1"/>
  <c r="AX191" i="1"/>
  <c r="AW191" i="1"/>
  <c r="AY191" i="1"/>
  <c r="AV191" i="1"/>
  <c r="AY267" i="1"/>
  <c r="AU267" i="1"/>
  <c r="AV267" i="1"/>
  <c r="AW267" i="1"/>
  <c r="AX267" i="1"/>
  <c r="AY142" i="1"/>
  <c r="AX142" i="1"/>
  <c r="AU142" i="1"/>
  <c r="AV142" i="1"/>
  <c r="AW142" i="1"/>
  <c r="AV55" i="1"/>
  <c r="AX55" i="1"/>
  <c r="AU55" i="1"/>
  <c r="AW55" i="1"/>
  <c r="AY55" i="1"/>
  <c r="AX212" i="1"/>
  <c r="AV212" i="1"/>
  <c r="AU212" i="1"/>
  <c r="AW212" i="1"/>
  <c r="AY212" i="1"/>
  <c r="AU243" i="1"/>
  <c r="AW243" i="1"/>
  <c r="AX243" i="1"/>
  <c r="AY243" i="1"/>
  <c r="AV243" i="1"/>
  <c r="AX257" i="1"/>
  <c r="AY257" i="1"/>
  <c r="AU257" i="1"/>
  <c r="AV257" i="1"/>
  <c r="AW257" i="1"/>
  <c r="AX150" i="1"/>
  <c r="AU150" i="1"/>
  <c r="AW150" i="1"/>
  <c r="AY150" i="1"/>
  <c r="AV150" i="1"/>
  <c r="AU47" i="1"/>
  <c r="AV47" i="1"/>
  <c r="AW47" i="1"/>
  <c r="AX47" i="1"/>
  <c r="AY47" i="1"/>
  <c r="AX16" i="1"/>
  <c r="AW16" i="1"/>
  <c r="AY16" i="1"/>
  <c r="AU16" i="1"/>
  <c r="AV16" i="1"/>
  <c r="AX48" i="1"/>
  <c r="AU48" i="1"/>
  <c r="AW48" i="1"/>
  <c r="AY48" i="1"/>
  <c r="AV48" i="1"/>
  <c r="AY110" i="1"/>
  <c r="AU110" i="1"/>
  <c r="AV110" i="1"/>
  <c r="AX110" i="1"/>
  <c r="AW110" i="1"/>
  <c r="AX158" i="1"/>
  <c r="AY158" i="1"/>
  <c r="AV158" i="1"/>
  <c r="AU158" i="1"/>
  <c r="AW158" i="1"/>
  <c r="AU139" i="1"/>
  <c r="AY139" i="1"/>
  <c r="AW139" i="1"/>
  <c r="AX139" i="1"/>
  <c r="AV139" i="1"/>
  <c r="AU49" i="1"/>
  <c r="AV49" i="1"/>
  <c r="AW49" i="1"/>
  <c r="AX49" i="1"/>
  <c r="AY49" i="1"/>
  <c r="AU167" i="1"/>
  <c r="AW167" i="1"/>
  <c r="AX167" i="1"/>
  <c r="AV167" i="1"/>
  <c r="AY167" i="1"/>
  <c r="AU247" i="1"/>
  <c r="AV247" i="1"/>
  <c r="AW247" i="1"/>
  <c r="AX247" i="1"/>
  <c r="AY247" i="1"/>
  <c r="AU246" i="1"/>
  <c r="AW246" i="1"/>
  <c r="AX246" i="1"/>
  <c r="AV246" i="1"/>
  <c r="AY246" i="1"/>
  <c r="AW285" i="1"/>
  <c r="AX285" i="1"/>
  <c r="AY285" i="1"/>
  <c r="AU285" i="1"/>
  <c r="AV285" i="1"/>
  <c r="AV25" i="1"/>
  <c r="AW25" i="1"/>
  <c r="AU25" i="1"/>
  <c r="AX25" i="1"/>
  <c r="AY25" i="1"/>
  <c r="AV53" i="1"/>
  <c r="AU53" i="1"/>
  <c r="AW53" i="1"/>
  <c r="AY53" i="1"/>
  <c r="AX53" i="1"/>
  <c r="AX10" i="1"/>
  <c r="AY10" i="1"/>
  <c r="AV10" i="1"/>
  <c r="AU10" i="1"/>
  <c r="AK10" i="1" s="1"/>
  <c r="AW10" i="1"/>
  <c r="AV38" i="1"/>
  <c r="AU38" i="1"/>
  <c r="AW38" i="1"/>
  <c r="AX38" i="1"/>
  <c r="AY38" i="1"/>
  <c r="AU62" i="1"/>
  <c r="AV62" i="1"/>
  <c r="AW62" i="1"/>
  <c r="AX62" i="1"/>
  <c r="AY62" i="1"/>
  <c r="AV68" i="1"/>
  <c r="AY68" i="1"/>
  <c r="AW68" i="1"/>
  <c r="AU68" i="1"/>
  <c r="AX68" i="1"/>
  <c r="AW100" i="1"/>
  <c r="AU100" i="1"/>
  <c r="AX100" i="1"/>
  <c r="AY100" i="1"/>
  <c r="AV100" i="1"/>
  <c r="AX71" i="1"/>
  <c r="AU71" i="1"/>
  <c r="AY71" i="1"/>
  <c r="AV71" i="1"/>
  <c r="AW71" i="1"/>
  <c r="AW73" i="1"/>
  <c r="AX73" i="1"/>
  <c r="AU73" i="1"/>
  <c r="AY73" i="1"/>
  <c r="AV73" i="1"/>
  <c r="AW107" i="1"/>
  <c r="AX107" i="1"/>
  <c r="AY107" i="1"/>
  <c r="AV107" i="1"/>
  <c r="AU107" i="1"/>
  <c r="AU203" i="1"/>
  <c r="AW203" i="1"/>
  <c r="AX203" i="1"/>
  <c r="AY203" i="1"/>
  <c r="AV203" i="1"/>
  <c r="AY178" i="1"/>
  <c r="AU178" i="1"/>
  <c r="AV178" i="1"/>
  <c r="AW178" i="1"/>
  <c r="AX178" i="1"/>
  <c r="AU185" i="1"/>
  <c r="AW185" i="1"/>
  <c r="AX185" i="1"/>
  <c r="AV185" i="1"/>
  <c r="AY185" i="1"/>
  <c r="AU187" i="1"/>
  <c r="AX187" i="1"/>
  <c r="AW187" i="1"/>
  <c r="AY187" i="1"/>
  <c r="AV187" i="1"/>
  <c r="AU237" i="1"/>
  <c r="AW237" i="1"/>
  <c r="AX237" i="1"/>
  <c r="AY237" i="1"/>
  <c r="AV237" i="1"/>
  <c r="AX255" i="1"/>
  <c r="AW255" i="1"/>
  <c r="AY255" i="1"/>
  <c r="AU255" i="1"/>
  <c r="AV255" i="1"/>
  <c r="AX291" i="1"/>
  <c r="AW291" i="1"/>
  <c r="AY291" i="1"/>
  <c r="AU291" i="1"/>
  <c r="AV291" i="1"/>
  <c r="AX205" i="1"/>
  <c r="AY205" i="1"/>
  <c r="AU205" i="1"/>
  <c r="AV205" i="1"/>
  <c r="AW205" i="1"/>
  <c r="AU161" i="1"/>
  <c r="AY161" i="1"/>
  <c r="AW161" i="1"/>
  <c r="AX161" i="1"/>
  <c r="AV161" i="1"/>
  <c r="AX147" i="1"/>
  <c r="AY147" i="1"/>
  <c r="AV147" i="1"/>
  <c r="AU147" i="1"/>
  <c r="AW147" i="1"/>
  <c r="AW156" i="1"/>
  <c r="AY156" i="1"/>
  <c r="AV156" i="1"/>
  <c r="AX156" i="1"/>
  <c r="AU156" i="1"/>
  <c r="AX144" i="1"/>
  <c r="AU144" i="1"/>
  <c r="AY144" i="1"/>
  <c r="AW144" i="1"/>
  <c r="AV144" i="1"/>
  <c r="AW132" i="1"/>
  <c r="AV132" i="1"/>
  <c r="AU132" i="1"/>
  <c r="AY132" i="1"/>
  <c r="AX132" i="1"/>
  <c r="AW120" i="1"/>
  <c r="AU120" i="1"/>
  <c r="AX120" i="1"/>
  <c r="AY120" i="1"/>
  <c r="AV120" i="1"/>
  <c r="AX23" i="1"/>
  <c r="AU23" i="1"/>
  <c r="AY23" i="1"/>
  <c r="AV23" i="1"/>
  <c r="AW23" i="1"/>
  <c r="AX51" i="1"/>
  <c r="AU51" i="1"/>
  <c r="AY51" i="1"/>
  <c r="AV51" i="1"/>
  <c r="AW51" i="1"/>
  <c r="AW193" i="1"/>
  <c r="AV193" i="1"/>
  <c r="AY193" i="1"/>
  <c r="AX193" i="1"/>
  <c r="AU193" i="1"/>
  <c r="AU241" i="1"/>
  <c r="AW241" i="1"/>
  <c r="AX241" i="1"/>
  <c r="AY241" i="1"/>
  <c r="AV241" i="1"/>
  <c r="AY207" i="1"/>
  <c r="AU207" i="1"/>
  <c r="AK207" i="1" s="1"/>
  <c r="AV207" i="1"/>
  <c r="AW207" i="1"/>
  <c r="AX207" i="1"/>
  <c r="AX236" i="1"/>
  <c r="AV236" i="1"/>
  <c r="AU236" i="1"/>
  <c r="AY236" i="1"/>
  <c r="AW236" i="1"/>
  <c r="AU239" i="1"/>
  <c r="AW239" i="1"/>
  <c r="AX239" i="1"/>
  <c r="AY239" i="1"/>
  <c r="AV239" i="1"/>
  <c r="AW217" i="1"/>
  <c r="AV217" i="1"/>
  <c r="AX217" i="1"/>
  <c r="AY217" i="1"/>
  <c r="AU217" i="1"/>
  <c r="AU252" i="1"/>
  <c r="AW252" i="1"/>
  <c r="AX252" i="1"/>
  <c r="AV252" i="1"/>
  <c r="AY252" i="1"/>
  <c r="AV306" i="1"/>
  <c r="AU306" i="1"/>
  <c r="AY306" i="1"/>
  <c r="AW306" i="1"/>
  <c r="AX306" i="1"/>
  <c r="AU168" i="1"/>
  <c r="AW168" i="1"/>
  <c r="AX168" i="1"/>
  <c r="AY168" i="1"/>
  <c r="AV168" i="1"/>
  <c r="AU298" i="1"/>
  <c r="AW298" i="1"/>
  <c r="AX298" i="1"/>
  <c r="AV298" i="1"/>
  <c r="AY298" i="1"/>
  <c r="AW270" i="1"/>
  <c r="AV270" i="1"/>
  <c r="AX270" i="1"/>
  <c r="AU270" i="1"/>
  <c r="AY270" i="1"/>
  <c r="AV202" i="1"/>
  <c r="AU202" i="1"/>
  <c r="AY202" i="1"/>
  <c r="AW202" i="1"/>
  <c r="AX202" i="1"/>
  <c r="AW201" i="1"/>
  <c r="AY201" i="1"/>
  <c r="AV201" i="1"/>
  <c r="AX201" i="1"/>
  <c r="AU201" i="1"/>
  <c r="AU35" i="1"/>
  <c r="AV35" i="1"/>
  <c r="AW35" i="1"/>
  <c r="AX35" i="1"/>
  <c r="AY35" i="1"/>
  <c r="AV58" i="1"/>
  <c r="AU58" i="1"/>
  <c r="AW58" i="1"/>
  <c r="AX58" i="1"/>
  <c r="AY58" i="1"/>
  <c r="AY92" i="1"/>
  <c r="AW92" i="1"/>
  <c r="AU92" i="1"/>
  <c r="AV92" i="1"/>
  <c r="AX92" i="1"/>
  <c r="AV28" i="1"/>
  <c r="AU28" i="1"/>
  <c r="AW28" i="1"/>
  <c r="AX28" i="1"/>
  <c r="AY28" i="1"/>
  <c r="AY82" i="1"/>
  <c r="AU82" i="1"/>
  <c r="AV82" i="1"/>
  <c r="AW82" i="1"/>
  <c r="AX82" i="1"/>
  <c r="AY12" i="1"/>
  <c r="AU12" i="1"/>
  <c r="AK12" i="1" s="1"/>
  <c r="AW12" i="1"/>
  <c r="AV12" i="1"/>
  <c r="AX12" i="1"/>
  <c r="AX40" i="1"/>
  <c r="AU40" i="1"/>
  <c r="AY40" i="1"/>
  <c r="AV40" i="1"/>
  <c r="AW40" i="1"/>
  <c r="AU102" i="1"/>
  <c r="AW102" i="1"/>
  <c r="AX102" i="1"/>
  <c r="AY102" i="1"/>
  <c r="AV102" i="1"/>
  <c r="AX114" i="1"/>
  <c r="AY114" i="1"/>
  <c r="AU114" i="1"/>
  <c r="AK114" i="1" s="1"/>
  <c r="AV114" i="1"/>
  <c r="AW114" i="1"/>
  <c r="AU67" i="1"/>
  <c r="AY67" i="1"/>
  <c r="AV67" i="1"/>
  <c r="AW67" i="1"/>
  <c r="AX67" i="1"/>
  <c r="AU115" i="1"/>
  <c r="AK115" i="1" s="1"/>
  <c r="AY115" i="1"/>
  <c r="AW115" i="1"/>
  <c r="AV115" i="1"/>
  <c r="AX115" i="1"/>
  <c r="AX108" i="1"/>
  <c r="AY108" i="1"/>
  <c r="AU108" i="1"/>
  <c r="AV108" i="1"/>
  <c r="AW108" i="1"/>
  <c r="AU179" i="1"/>
  <c r="AW179" i="1"/>
  <c r="AX179" i="1"/>
  <c r="AV179" i="1"/>
  <c r="AY179" i="1"/>
  <c r="AW194" i="1"/>
  <c r="AX194" i="1"/>
  <c r="AV194" i="1"/>
  <c r="AY194" i="1"/>
  <c r="AU194" i="1"/>
  <c r="AV183" i="1"/>
  <c r="AU183" i="1"/>
  <c r="AY183" i="1"/>
  <c r="AW183" i="1"/>
  <c r="AX183" i="1"/>
  <c r="AX227" i="1"/>
  <c r="AY227" i="1"/>
  <c r="AU227" i="1"/>
  <c r="AV227" i="1"/>
  <c r="AW227" i="1"/>
  <c r="AU245" i="1"/>
  <c r="AW245" i="1"/>
  <c r="AX245" i="1"/>
  <c r="AY245" i="1"/>
  <c r="AV245" i="1"/>
  <c r="AX283" i="1"/>
  <c r="AY283" i="1"/>
  <c r="AU283" i="1"/>
  <c r="AV283" i="1"/>
  <c r="AW283" i="1"/>
  <c r="AW295" i="1"/>
  <c r="AX295" i="1"/>
  <c r="AY295" i="1"/>
  <c r="AU295" i="1"/>
  <c r="AV295" i="1"/>
  <c r="AU273" i="1"/>
  <c r="AV273" i="1"/>
  <c r="AW273" i="1"/>
  <c r="AX273" i="1"/>
  <c r="AY273" i="1"/>
  <c r="AY162" i="1"/>
  <c r="AU162" i="1"/>
  <c r="AV162" i="1"/>
  <c r="AW162" i="1"/>
  <c r="AX162" i="1"/>
  <c r="AU153" i="1"/>
  <c r="AY153" i="1"/>
  <c r="AW153" i="1"/>
  <c r="AX153" i="1"/>
  <c r="AV153" i="1"/>
  <c r="AU141" i="1"/>
  <c r="AY141" i="1"/>
  <c r="AW141" i="1"/>
  <c r="AX141" i="1"/>
  <c r="AV141" i="1"/>
  <c r="AW129" i="1"/>
  <c r="AX129" i="1"/>
  <c r="AV129" i="1"/>
  <c r="AY129" i="1"/>
  <c r="AU129" i="1"/>
  <c r="AW117" i="1"/>
  <c r="AY117" i="1"/>
  <c r="AX117" i="1"/>
  <c r="AU117" i="1"/>
  <c r="AV117" i="1"/>
  <c r="AU97" i="1"/>
  <c r="AW97" i="1"/>
  <c r="AX97" i="1"/>
  <c r="AV97" i="1"/>
  <c r="AY97" i="1"/>
  <c r="AU29" i="1"/>
  <c r="AK29" i="1" s="1"/>
  <c r="AV29" i="1"/>
  <c r="AW29" i="1"/>
  <c r="AY29" i="1"/>
  <c r="AX29" i="1"/>
  <c r="AU60" i="1"/>
  <c r="AW60" i="1"/>
  <c r="AX60" i="1"/>
  <c r="AV60" i="1"/>
  <c r="AY60" i="1"/>
  <c r="AU94" i="1"/>
  <c r="AV94" i="1"/>
  <c r="AW94" i="1"/>
  <c r="AX94" i="1"/>
  <c r="AY94" i="1"/>
  <c r="AU173" i="1"/>
  <c r="AW173" i="1"/>
  <c r="AX173" i="1"/>
  <c r="AV173" i="1"/>
  <c r="AY173" i="1"/>
  <c r="AU177" i="1"/>
  <c r="AY177" i="1"/>
  <c r="AW177" i="1"/>
  <c r="AX177" i="1"/>
  <c r="AV177" i="1"/>
  <c r="AX230" i="1"/>
  <c r="AY230" i="1"/>
  <c r="AV230" i="1"/>
  <c r="AU230" i="1"/>
  <c r="AW230" i="1"/>
  <c r="AX251" i="1"/>
  <c r="AU251" i="1"/>
  <c r="AY251" i="1"/>
  <c r="AV251" i="1"/>
  <c r="AW251" i="1"/>
  <c r="AU265" i="1"/>
  <c r="AV265" i="1"/>
  <c r="AX265" i="1"/>
  <c r="AW265" i="1"/>
  <c r="AY265" i="1"/>
  <c r="AU221" i="1"/>
  <c r="AV221" i="1"/>
  <c r="AY221" i="1"/>
  <c r="AW221" i="1"/>
  <c r="AX221" i="1"/>
  <c r="AX289" i="1"/>
  <c r="AU289" i="1"/>
  <c r="AV289" i="1"/>
  <c r="AY289" i="1"/>
  <c r="AW289" i="1"/>
  <c r="AX305" i="1"/>
  <c r="AV305" i="1"/>
  <c r="AU305" i="1"/>
  <c r="AY305" i="1"/>
  <c r="AW305" i="1"/>
  <c r="AU99" i="1"/>
  <c r="AW99" i="1"/>
  <c r="AX99" i="1"/>
  <c r="AV99" i="1"/>
  <c r="AY99" i="1"/>
  <c r="AX41" i="1"/>
  <c r="AU41" i="1"/>
  <c r="AY41" i="1"/>
  <c r="AV41" i="1"/>
  <c r="AW41" i="1"/>
  <c r="AU46" i="1"/>
  <c r="AY46" i="1"/>
  <c r="AV46" i="1"/>
  <c r="AW46" i="1"/>
  <c r="AX46" i="1"/>
  <c r="AU90" i="1"/>
  <c r="AV90" i="1"/>
  <c r="AW90" i="1"/>
  <c r="AX90" i="1"/>
  <c r="AY90" i="1"/>
  <c r="AV123" i="1"/>
  <c r="AW123" i="1"/>
  <c r="AX123" i="1"/>
  <c r="AU123" i="1"/>
  <c r="AY123" i="1"/>
  <c r="AU219" i="1"/>
  <c r="AV219" i="1"/>
  <c r="AW219" i="1"/>
  <c r="AX219" i="1"/>
  <c r="AY219" i="1"/>
  <c r="AX279" i="1"/>
  <c r="AW279" i="1"/>
  <c r="AY279" i="1"/>
  <c r="AU279" i="1"/>
  <c r="AV279" i="1"/>
  <c r="AV258" i="1"/>
  <c r="AX258" i="1"/>
  <c r="AU258" i="1"/>
  <c r="AY258" i="1"/>
  <c r="AW258" i="1"/>
  <c r="AW128" i="1"/>
  <c r="AU128" i="1"/>
  <c r="AX128" i="1"/>
  <c r="AY128" i="1"/>
  <c r="AV128" i="1"/>
  <c r="AX11" i="1"/>
  <c r="AW11" i="1"/>
  <c r="AU11" i="1"/>
  <c r="AY11" i="1"/>
  <c r="AV11" i="1"/>
  <c r="AU157" i="1"/>
  <c r="AW157" i="1"/>
  <c r="AX157" i="1"/>
  <c r="AV157" i="1"/>
  <c r="AY157" i="1"/>
  <c r="AU228" i="1"/>
  <c r="AY228" i="1"/>
  <c r="AX228" i="1"/>
  <c r="AW228" i="1"/>
  <c r="AV228" i="1"/>
  <c r="AY302" i="1"/>
  <c r="AU302" i="1"/>
  <c r="AV302" i="1"/>
  <c r="AX302" i="1"/>
  <c r="AW302" i="1"/>
  <c r="AV278" i="1"/>
  <c r="AU278" i="1"/>
  <c r="AY278" i="1"/>
  <c r="AW278" i="1"/>
  <c r="AX278" i="1"/>
  <c r="AU174" i="1"/>
  <c r="AW174" i="1"/>
  <c r="AX174" i="1"/>
  <c r="AY174" i="1"/>
  <c r="AV174" i="1"/>
  <c r="AU27" i="1"/>
  <c r="AV27" i="1"/>
  <c r="AW27" i="1"/>
  <c r="AX27" i="1"/>
  <c r="AY27" i="1"/>
  <c r="AY52" i="1"/>
  <c r="AW52" i="1"/>
  <c r="AV52" i="1"/>
  <c r="AU52" i="1"/>
  <c r="AX52" i="1"/>
  <c r="AW91" i="1"/>
  <c r="AX91" i="1"/>
  <c r="AV91" i="1"/>
  <c r="AU91" i="1"/>
  <c r="AY91" i="1"/>
  <c r="AX112" i="1"/>
  <c r="AY112" i="1"/>
  <c r="AV112" i="1"/>
  <c r="AW112" i="1"/>
  <c r="AU112" i="1"/>
  <c r="AW181" i="1"/>
  <c r="AX181" i="1"/>
  <c r="AY181" i="1"/>
  <c r="AV181" i="1"/>
  <c r="AU181" i="1"/>
  <c r="AX275" i="1"/>
  <c r="AV275" i="1"/>
  <c r="AW275" i="1"/>
  <c r="AY275" i="1"/>
  <c r="AU275" i="1"/>
  <c r="AV137" i="1"/>
  <c r="AU137" i="1"/>
  <c r="AY137" i="1"/>
  <c r="AW137" i="1"/>
  <c r="AX137" i="1"/>
  <c r="AW121" i="1"/>
  <c r="AU121" i="1"/>
  <c r="AX121" i="1"/>
  <c r="AY121" i="1"/>
  <c r="AV121" i="1"/>
  <c r="AX88" i="1"/>
  <c r="AV88" i="1"/>
  <c r="AY88" i="1"/>
  <c r="AU88" i="1"/>
  <c r="AW88" i="1"/>
  <c r="AU37" i="1"/>
  <c r="AV37" i="1"/>
  <c r="AW37" i="1"/>
  <c r="AY37" i="1"/>
  <c r="AX37" i="1"/>
  <c r="AU171" i="1"/>
  <c r="AW171" i="1"/>
  <c r="AX171" i="1"/>
  <c r="AV171" i="1"/>
  <c r="AY171" i="1"/>
  <c r="AV196" i="1"/>
  <c r="AU196" i="1"/>
  <c r="AX196" i="1"/>
  <c r="AW196" i="1"/>
  <c r="AY196" i="1"/>
  <c r="AU226" i="1"/>
  <c r="AY226" i="1"/>
  <c r="AW226" i="1"/>
  <c r="AX226" i="1"/>
  <c r="AV226" i="1"/>
  <c r="AU282" i="1"/>
  <c r="AW282" i="1"/>
  <c r="AX282" i="1"/>
  <c r="AV282" i="1"/>
  <c r="AY282" i="1"/>
  <c r="AW42" i="1"/>
  <c r="AX42" i="1"/>
  <c r="AU42" i="1"/>
  <c r="AY42" i="1"/>
  <c r="AV42" i="1"/>
  <c r="AW59" i="1"/>
  <c r="AU59" i="1"/>
  <c r="AV59" i="1"/>
  <c r="AX59" i="1"/>
  <c r="AY59" i="1"/>
  <c r="AU89" i="1"/>
  <c r="AY89" i="1"/>
  <c r="AW89" i="1"/>
  <c r="AX89" i="1"/>
  <c r="AV89" i="1"/>
  <c r="AU169" i="1"/>
  <c r="AW169" i="1"/>
  <c r="AX169" i="1"/>
  <c r="AV169" i="1"/>
  <c r="AY169" i="1"/>
  <c r="AU260" i="1"/>
  <c r="AY260" i="1"/>
  <c r="AW260" i="1"/>
  <c r="AX260" i="1"/>
  <c r="AV260" i="1"/>
  <c r="AU288" i="1"/>
  <c r="AV288" i="1"/>
  <c r="AW288" i="1"/>
  <c r="AX288" i="1"/>
  <c r="AY288" i="1"/>
  <c r="AV294" i="1"/>
  <c r="AU294" i="1"/>
  <c r="AY294" i="1"/>
  <c r="AW294" i="1"/>
  <c r="AX294" i="1"/>
  <c r="AW130" i="1"/>
  <c r="AY130" i="1"/>
  <c r="AX130" i="1"/>
  <c r="AV130" i="1"/>
  <c r="AU130" i="1"/>
  <c r="AU175" i="1"/>
  <c r="AW175" i="1"/>
  <c r="AX175" i="1"/>
  <c r="AV175" i="1"/>
  <c r="AY175" i="1"/>
  <c r="AX225" i="1"/>
  <c r="AY225" i="1"/>
  <c r="AU225" i="1"/>
  <c r="AV225" i="1"/>
  <c r="AW225" i="1"/>
  <c r="AV268" i="1"/>
  <c r="AW268" i="1"/>
  <c r="AU268" i="1"/>
  <c r="AY268" i="1"/>
  <c r="AX268" i="1"/>
  <c r="AU197" i="1"/>
  <c r="AY197" i="1"/>
  <c r="AX197" i="1"/>
  <c r="AW197" i="1"/>
  <c r="AV197" i="1"/>
  <c r="AX148" i="1"/>
  <c r="AY148" i="1"/>
  <c r="AU148" i="1"/>
  <c r="AW148" i="1"/>
  <c r="AV148" i="1"/>
  <c r="AU7" i="1"/>
  <c r="AX7" i="1"/>
  <c r="AW7" i="1"/>
  <c r="AV7" i="1"/>
  <c r="AY7" i="1"/>
  <c r="AV32" i="1"/>
  <c r="AW32" i="1"/>
  <c r="AU32" i="1"/>
  <c r="AX32" i="1"/>
  <c r="AY32" i="1"/>
  <c r="AV20" i="1"/>
  <c r="AU20" i="1"/>
  <c r="AW20" i="1"/>
  <c r="AX20" i="1"/>
  <c r="AY20" i="1"/>
  <c r="AX65" i="1"/>
  <c r="AV65" i="1"/>
  <c r="AU65" i="1"/>
  <c r="AY65" i="1"/>
  <c r="AW65" i="1"/>
  <c r="AX182" i="1"/>
  <c r="AW182" i="1"/>
  <c r="AY182" i="1"/>
  <c r="AU182" i="1"/>
  <c r="AV182" i="1"/>
  <c r="AU151" i="1"/>
  <c r="AY151" i="1"/>
  <c r="AX151" i="1"/>
  <c r="AW151" i="1"/>
  <c r="AV151" i="1"/>
  <c r="AX127" i="1"/>
  <c r="AU127" i="1"/>
  <c r="AW127" i="1"/>
  <c r="AV127" i="1"/>
  <c r="AY127" i="1"/>
  <c r="AU33" i="1"/>
  <c r="AV33" i="1"/>
  <c r="AW33" i="1"/>
  <c r="AX33" i="1"/>
  <c r="AY33" i="1"/>
  <c r="AY78" i="1"/>
  <c r="AU78" i="1"/>
  <c r="AV78" i="1"/>
  <c r="AW78" i="1"/>
  <c r="AX78" i="1"/>
  <c r="AU188" i="1"/>
  <c r="AY188" i="1"/>
  <c r="AW188" i="1"/>
  <c r="AX188" i="1"/>
  <c r="AV188" i="1"/>
  <c r="AY249" i="1"/>
  <c r="AU249" i="1"/>
  <c r="AV249" i="1"/>
  <c r="AW249" i="1"/>
  <c r="AX249" i="1"/>
  <c r="AU172" i="1"/>
  <c r="AK172" i="1" s="1"/>
  <c r="AW172" i="1"/>
  <c r="AX172" i="1"/>
  <c r="AY172" i="1"/>
  <c r="AV172" i="1"/>
  <c r="AU57" i="1"/>
  <c r="AV57" i="1"/>
  <c r="AW57" i="1"/>
  <c r="AX57" i="1"/>
  <c r="AY57" i="1"/>
  <c r="AU21" i="1"/>
  <c r="AX21" i="1"/>
  <c r="AV21" i="1"/>
  <c r="AW21" i="1"/>
  <c r="AY21" i="1"/>
  <c r="AX26" i="1"/>
  <c r="AU26" i="1"/>
  <c r="AK26" i="1" s="1"/>
  <c r="AY26" i="1"/>
  <c r="AV26" i="1"/>
  <c r="AW26" i="1"/>
  <c r="AX54" i="1"/>
  <c r="AU54" i="1"/>
  <c r="AY54" i="1"/>
  <c r="AV54" i="1"/>
  <c r="AW54" i="1"/>
  <c r="AW84" i="1"/>
  <c r="AX84" i="1"/>
  <c r="AY84" i="1"/>
  <c r="AU84" i="1"/>
  <c r="AV84" i="1"/>
  <c r="AU34" i="1"/>
  <c r="AV34" i="1"/>
  <c r="AW34" i="1"/>
  <c r="AX34" i="1"/>
  <c r="AY34" i="1"/>
  <c r="AW83" i="1"/>
  <c r="AX83" i="1"/>
  <c r="AY83" i="1"/>
  <c r="AV83" i="1"/>
  <c r="AU83" i="1"/>
  <c r="AU98" i="1"/>
  <c r="AW98" i="1"/>
  <c r="AX98" i="1"/>
  <c r="AY98" i="1"/>
  <c r="AV98" i="1"/>
  <c r="AU85" i="1"/>
  <c r="AY85" i="1"/>
  <c r="AW85" i="1"/>
  <c r="AX85" i="1"/>
  <c r="AV85" i="1"/>
  <c r="AX113" i="1"/>
  <c r="AV113" i="1"/>
  <c r="AY113" i="1"/>
  <c r="AU113" i="1"/>
  <c r="AW113" i="1"/>
  <c r="AU125" i="1"/>
  <c r="AY125" i="1"/>
  <c r="AX125" i="1"/>
  <c r="AW125" i="1"/>
  <c r="AV125" i="1"/>
  <c r="AU190" i="1"/>
  <c r="AV190" i="1"/>
  <c r="AW190" i="1"/>
  <c r="AX190" i="1"/>
  <c r="AY190" i="1"/>
  <c r="AV208" i="1"/>
  <c r="AU208" i="1"/>
  <c r="AY208" i="1"/>
  <c r="AW208" i="1"/>
  <c r="AX208" i="1"/>
  <c r="AW214" i="1"/>
  <c r="AY214" i="1"/>
  <c r="AX214" i="1"/>
  <c r="AV214" i="1"/>
  <c r="AU214" i="1"/>
  <c r="AW210" i="1"/>
  <c r="AX210" i="1"/>
  <c r="AY210" i="1"/>
  <c r="AV210" i="1"/>
  <c r="AU210" i="1"/>
  <c r="AU272" i="1"/>
  <c r="AW272" i="1"/>
  <c r="AX272" i="1"/>
  <c r="AV272" i="1"/>
  <c r="AY272" i="1"/>
  <c r="AW199" i="1"/>
  <c r="AX199" i="1"/>
  <c r="AY199" i="1"/>
  <c r="AV199" i="1"/>
  <c r="AU199" i="1"/>
  <c r="AW204" i="1"/>
  <c r="AY204" i="1"/>
  <c r="AX204" i="1"/>
  <c r="AV204" i="1"/>
  <c r="AU204" i="1"/>
  <c r="AW138" i="1"/>
  <c r="AX138" i="1"/>
  <c r="AY138" i="1"/>
  <c r="AU138" i="1"/>
  <c r="AV138" i="1"/>
  <c r="AW146" i="1"/>
  <c r="AX146" i="1"/>
  <c r="AY146" i="1"/>
  <c r="AV146" i="1"/>
  <c r="AU146" i="1"/>
  <c r="AU134" i="1"/>
  <c r="AV134" i="1"/>
  <c r="AX134" i="1"/>
  <c r="AY134" i="1"/>
  <c r="AW134" i="1"/>
  <c r="AY122" i="1"/>
  <c r="AU122" i="1"/>
  <c r="AV122" i="1"/>
  <c r="AW122" i="1"/>
  <c r="AX122" i="1"/>
  <c r="AU101" i="1"/>
  <c r="AW101" i="1"/>
  <c r="AX101" i="1"/>
  <c r="AV101" i="1"/>
  <c r="AY101" i="1"/>
  <c r="AX15" i="1"/>
  <c r="AW15" i="1"/>
  <c r="AU15" i="1"/>
  <c r="AY15" i="1"/>
  <c r="AV15" i="1"/>
  <c r="AV19" i="1"/>
  <c r="AX19" i="1"/>
  <c r="AY19" i="1"/>
  <c r="AW19" i="1"/>
  <c r="AU19" i="1"/>
  <c r="AW43" i="1"/>
  <c r="AX43" i="1"/>
  <c r="AY43" i="1"/>
  <c r="AV43" i="1"/>
  <c r="AU43" i="1"/>
  <c r="AW180" i="1"/>
  <c r="AV180" i="1"/>
  <c r="AX180" i="1"/>
  <c r="AY180" i="1"/>
  <c r="AU180" i="1"/>
  <c r="AU218" i="1"/>
  <c r="AY218" i="1"/>
  <c r="AX218" i="1"/>
  <c r="AV218" i="1"/>
  <c r="AW218" i="1"/>
  <c r="AU242" i="1"/>
  <c r="AW242" i="1"/>
  <c r="AX242" i="1"/>
  <c r="AV242" i="1"/>
  <c r="AY242" i="1"/>
  <c r="AW232" i="1"/>
  <c r="AU232" i="1"/>
  <c r="AX232" i="1"/>
  <c r="AV232" i="1"/>
  <c r="AY232" i="1"/>
  <c r="AW229" i="1"/>
  <c r="AV229" i="1"/>
  <c r="AX229" i="1"/>
  <c r="AY229" i="1"/>
  <c r="AU229" i="1"/>
  <c r="AU304" i="1"/>
  <c r="AV304" i="1"/>
  <c r="AX304" i="1"/>
  <c r="AY304" i="1"/>
  <c r="AW304" i="1"/>
  <c r="AU281" i="1"/>
  <c r="AV281" i="1"/>
  <c r="AW281" i="1"/>
  <c r="AX281" i="1"/>
  <c r="AY281" i="1"/>
  <c r="AX165" i="1"/>
  <c r="AV165" i="1"/>
  <c r="AU165" i="1"/>
  <c r="AY165" i="1"/>
  <c r="AW165" i="1"/>
  <c r="AW296" i="1"/>
  <c r="AX296" i="1"/>
  <c r="AV296" i="1"/>
  <c r="AU296" i="1"/>
  <c r="AY296" i="1"/>
  <c r="AV284" i="1"/>
  <c r="AU284" i="1"/>
  <c r="AY284" i="1"/>
  <c r="AW284" i="1"/>
  <c r="AX284" i="1"/>
  <c r="AW163" i="1"/>
  <c r="AV163" i="1"/>
  <c r="AY163" i="1"/>
  <c r="AX163" i="1"/>
  <c r="AU163" i="1"/>
  <c r="AU31" i="1"/>
  <c r="AV31" i="1"/>
  <c r="AW31" i="1"/>
  <c r="AX31" i="1"/>
  <c r="AY31" i="1"/>
  <c r="AV74" i="1"/>
  <c r="AW74" i="1"/>
  <c r="AX74" i="1"/>
  <c r="AU74" i="1"/>
  <c r="AY74" i="1"/>
  <c r="AU24" i="1"/>
  <c r="AV24" i="1"/>
  <c r="AW24" i="1"/>
  <c r="AX24" i="1"/>
  <c r="AY24" i="1"/>
  <c r="AU64" i="1"/>
  <c r="AX64" i="1"/>
  <c r="AV64" i="1"/>
  <c r="AY64" i="1"/>
  <c r="AW64" i="1"/>
  <c r="AU106" i="1"/>
  <c r="AW106" i="1"/>
  <c r="AX106" i="1"/>
  <c r="AY106" i="1"/>
  <c r="AV106" i="1"/>
  <c r="AU8" i="1"/>
  <c r="AV8" i="1"/>
  <c r="AW8" i="1"/>
  <c r="AX8" i="1"/>
  <c r="AY8" i="1"/>
  <c r="AU56" i="1"/>
  <c r="AY56" i="1"/>
  <c r="AV56" i="1"/>
  <c r="AX56" i="1"/>
  <c r="AW56" i="1"/>
  <c r="AX79" i="1"/>
  <c r="AW79" i="1"/>
  <c r="AV79" i="1"/>
  <c r="AY79" i="1"/>
  <c r="AU79" i="1"/>
  <c r="AU116" i="1"/>
  <c r="AW116" i="1"/>
  <c r="AV116" i="1"/>
  <c r="AY116" i="1"/>
  <c r="AX116" i="1"/>
  <c r="AV69" i="1"/>
  <c r="AY69" i="1"/>
  <c r="AX69" i="1"/>
  <c r="AW69" i="1"/>
  <c r="AU69" i="1"/>
  <c r="AX126" i="1"/>
  <c r="AU126" i="1"/>
  <c r="AY126" i="1"/>
  <c r="AV126" i="1"/>
  <c r="AW126" i="1"/>
  <c r="AW206" i="1"/>
  <c r="AX206" i="1"/>
  <c r="AV206" i="1"/>
  <c r="AU206" i="1"/>
  <c r="AY206" i="1"/>
  <c r="AU189" i="1"/>
  <c r="AW189" i="1"/>
  <c r="AV189" i="1"/>
  <c r="AX189" i="1"/>
  <c r="AY189" i="1"/>
  <c r="AU238" i="1"/>
  <c r="AW238" i="1"/>
  <c r="AX238" i="1"/>
  <c r="AV238" i="1"/>
  <c r="AY238" i="1"/>
  <c r="AW211" i="1"/>
  <c r="AX211" i="1"/>
  <c r="AY211" i="1"/>
  <c r="AU211" i="1"/>
  <c r="AV211" i="1"/>
  <c r="AU303" i="1"/>
  <c r="AW303" i="1"/>
  <c r="AX303" i="1"/>
  <c r="AV303" i="1"/>
  <c r="AY303" i="1"/>
  <c r="AX271" i="1"/>
  <c r="AY271" i="1"/>
  <c r="AU271" i="1"/>
  <c r="AV271" i="1"/>
  <c r="AW271" i="1"/>
  <c r="AY215" i="1"/>
  <c r="AU215" i="1"/>
  <c r="AV215" i="1"/>
  <c r="AW215" i="1"/>
  <c r="AX215" i="1"/>
  <c r="AU198" i="1"/>
  <c r="AV198" i="1"/>
  <c r="AW198" i="1"/>
  <c r="AX198" i="1"/>
  <c r="AY198" i="1"/>
  <c r="AW176" i="1"/>
  <c r="AX176" i="1"/>
  <c r="AY176" i="1"/>
  <c r="AU176" i="1"/>
  <c r="AV176" i="1"/>
  <c r="AV149" i="1"/>
  <c r="AU149" i="1"/>
  <c r="AY149" i="1"/>
  <c r="AX149" i="1"/>
  <c r="AW149" i="1"/>
  <c r="AW155" i="1"/>
  <c r="AX155" i="1"/>
  <c r="AV155" i="1"/>
  <c r="AU155" i="1"/>
  <c r="AY155" i="1"/>
  <c r="AX143" i="1"/>
  <c r="AY143" i="1"/>
  <c r="AV143" i="1"/>
  <c r="AU143" i="1"/>
  <c r="AW143" i="1"/>
  <c r="AX131" i="1"/>
  <c r="AW131" i="1"/>
  <c r="AV131" i="1"/>
  <c r="AU131" i="1"/>
  <c r="AY131" i="1"/>
  <c r="AX119" i="1"/>
  <c r="AV119" i="1"/>
  <c r="AU119" i="1"/>
  <c r="AY119" i="1"/>
  <c r="AW119" i="1"/>
  <c r="AU103" i="1"/>
  <c r="AW103" i="1"/>
  <c r="AX103" i="1"/>
  <c r="AV103" i="1"/>
  <c r="AY103" i="1"/>
  <c r="AU45" i="1"/>
  <c r="AV45" i="1"/>
  <c r="AW45" i="1"/>
  <c r="AY45" i="1"/>
  <c r="AX45" i="1"/>
  <c r="AY76" i="1"/>
  <c r="AU76" i="1"/>
  <c r="AV76" i="1"/>
  <c r="AX76" i="1"/>
  <c r="AW76" i="1"/>
  <c r="AX184" i="1"/>
  <c r="AY184" i="1"/>
  <c r="AU184" i="1"/>
  <c r="AV184" i="1"/>
  <c r="AW184" i="1"/>
  <c r="AV248" i="1"/>
  <c r="AX248" i="1"/>
  <c r="AU248" i="1"/>
  <c r="AY248" i="1"/>
  <c r="AW248" i="1"/>
  <c r="AW261" i="1"/>
  <c r="AX261" i="1"/>
  <c r="AY261" i="1"/>
  <c r="AU261" i="1"/>
  <c r="AV261" i="1"/>
  <c r="AW233" i="1"/>
  <c r="AX233" i="1"/>
  <c r="AY233" i="1"/>
  <c r="AU233" i="1"/>
  <c r="AV233" i="1"/>
  <c r="AX254" i="1"/>
  <c r="AV254" i="1"/>
  <c r="AY254" i="1"/>
  <c r="AU254" i="1"/>
  <c r="AW254" i="1"/>
  <c r="AU301" i="1"/>
  <c r="AX301" i="1"/>
  <c r="AY301" i="1"/>
  <c r="AW301" i="1"/>
  <c r="AV301" i="1"/>
  <c r="AW22" i="1"/>
  <c r="AX22" i="1"/>
  <c r="AV22" i="1"/>
  <c r="AU22" i="1"/>
  <c r="AY22" i="1"/>
  <c r="AU30" i="1"/>
  <c r="AV30" i="1"/>
  <c r="AW30" i="1"/>
  <c r="AX30" i="1"/>
  <c r="AY30" i="1"/>
  <c r="AU95" i="1"/>
  <c r="AY95" i="1"/>
  <c r="AV95" i="1"/>
  <c r="AW95" i="1"/>
  <c r="AX95" i="1"/>
  <c r="AV111" i="1"/>
  <c r="AW111" i="1"/>
  <c r="AU111" i="1"/>
  <c r="AY111" i="1"/>
  <c r="AX111" i="1"/>
  <c r="AY231" i="1"/>
  <c r="AU231" i="1"/>
  <c r="AV231" i="1"/>
  <c r="AW231" i="1"/>
  <c r="AX231" i="1"/>
  <c r="AU223" i="1"/>
  <c r="AV223" i="1"/>
  <c r="AW223" i="1"/>
  <c r="AX223" i="1"/>
  <c r="AY223" i="1"/>
  <c r="AV216" i="1"/>
  <c r="AU216" i="1"/>
  <c r="AY216" i="1"/>
  <c r="AW216" i="1"/>
  <c r="AX216" i="1"/>
  <c r="AX152" i="1"/>
  <c r="AY152" i="1"/>
  <c r="AU152" i="1"/>
  <c r="AV152" i="1"/>
  <c r="AW152" i="1"/>
  <c r="AX136" i="1"/>
  <c r="AU136" i="1"/>
  <c r="AY136" i="1"/>
  <c r="AV136" i="1"/>
  <c r="AW136" i="1"/>
  <c r="AU262" i="1"/>
  <c r="AW262" i="1"/>
  <c r="AX262" i="1"/>
  <c r="AV262" i="1"/>
  <c r="AY262" i="1"/>
  <c r="AW244" i="1"/>
  <c r="AX244" i="1"/>
  <c r="AV244" i="1"/>
  <c r="AY244" i="1"/>
  <c r="AU244" i="1"/>
  <c r="AY297" i="1"/>
  <c r="AU297" i="1"/>
  <c r="AV297" i="1"/>
  <c r="AW297" i="1"/>
  <c r="AX297" i="1"/>
  <c r="AU293" i="1"/>
  <c r="AV293" i="1"/>
  <c r="AX293" i="1"/>
  <c r="AW293" i="1"/>
  <c r="AY293" i="1"/>
  <c r="AX80" i="1"/>
  <c r="AV80" i="1"/>
  <c r="AU80" i="1"/>
  <c r="AY80" i="1"/>
  <c r="AW80" i="1"/>
  <c r="AV70" i="1"/>
  <c r="AU70" i="1"/>
  <c r="AW70" i="1"/>
  <c r="AX70" i="1"/>
  <c r="AY70" i="1"/>
  <c r="AU63" i="1"/>
  <c r="AY63" i="1"/>
  <c r="AV63" i="1"/>
  <c r="AW63" i="1"/>
  <c r="AX63" i="1"/>
  <c r="AX81" i="1"/>
  <c r="AV81" i="1"/>
  <c r="AW81" i="1"/>
  <c r="AU81" i="1"/>
  <c r="AY81" i="1"/>
  <c r="AU263" i="1"/>
  <c r="AV263" i="1"/>
  <c r="AY263" i="1"/>
  <c r="AW263" i="1"/>
  <c r="AX263" i="1"/>
  <c r="AU274" i="1"/>
  <c r="AY274" i="1"/>
  <c r="AW274" i="1"/>
  <c r="AX274" i="1"/>
  <c r="AV274" i="1"/>
  <c r="AW290" i="1"/>
  <c r="AV290" i="1"/>
  <c r="AX290" i="1"/>
  <c r="AU290" i="1"/>
  <c r="AY290" i="1"/>
  <c r="AU159" i="1"/>
  <c r="AY159" i="1"/>
  <c r="AW159" i="1"/>
  <c r="AX159" i="1"/>
  <c r="AV159" i="1"/>
  <c r="AX145" i="1"/>
  <c r="AV145" i="1"/>
  <c r="AU145" i="1"/>
  <c r="AY145" i="1"/>
  <c r="AW145" i="1"/>
  <c r="AU105" i="1"/>
  <c r="AW105" i="1"/>
  <c r="AX105" i="1"/>
  <c r="AV105" i="1"/>
  <c r="AY105" i="1"/>
  <c r="AX72" i="1"/>
  <c r="AU72" i="1"/>
  <c r="AY72" i="1"/>
  <c r="AV72" i="1"/>
  <c r="AW72" i="1"/>
  <c r="AU256" i="1"/>
  <c r="AY256" i="1"/>
  <c r="AW256" i="1"/>
  <c r="AX256" i="1"/>
  <c r="AV256" i="1"/>
  <c r="AV264" i="1"/>
  <c r="AU264" i="1"/>
  <c r="AY264" i="1"/>
  <c r="AX264" i="1"/>
  <c r="AW264" i="1"/>
  <c r="AW250" i="1"/>
  <c r="AX250" i="1"/>
  <c r="AV250" i="1"/>
  <c r="AU250" i="1"/>
  <c r="AY250" i="1"/>
  <c r="AU9" i="1"/>
  <c r="AW9" i="1"/>
  <c r="AY9" i="1"/>
  <c r="AX9" i="1"/>
  <c r="AV9" i="1"/>
  <c r="AU14" i="1"/>
  <c r="AY14" i="1"/>
  <c r="AV14" i="1"/>
  <c r="AW14" i="1"/>
  <c r="AX14" i="1"/>
  <c r="AW66" i="1"/>
  <c r="AX66" i="1"/>
  <c r="AU66" i="1"/>
  <c r="AY66" i="1"/>
  <c r="AV66" i="1"/>
  <c r="AU104" i="1"/>
  <c r="AW104" i="1"/>
  <c r="AX104" i="1"/>
  <c r="AY104" i="1"/>
  <c r="AV104" i="1"/>
  <c r="AU61" i="1"/>
  <c r="AX61" i="1"/>
  <c r="AV61" i="1"/>
  <c r="AY61" i="1"/>
  <c r="AW61" i="1"/>
  <c r="AU186" i="1"/>
  <c r="AV186" i="1"/>
  <c r="AW186" i="1"/>
  <c r="AX186" i="1"/>
  <c r="AY186" i="1"/>
  <c r="AX276" i="1"/>
  <c r="AV276" i="1"/>
  <c r="AW276" i="1"/>
  <c r="AY276" i="1"/>
  <c r="AU276" i="1"/>
  <c r="AW160" i="1"/>
  <c r="AX160" i="1"/>
  <c r="AY160" i="1"/>
  <c r="AU160" i="1"/>
  <c r="AV160" i="1"/>
  <c r="AY200" i="1"/>
  <c r="AU200" i="1"/>
  <c r="AX200" i="1"/>
  <c r="AW200" i="1"/>
  <c r="AV200" i="1"/>
  <c r="AY154" i="1"/>
  <c r="AU154" i="1"/>
  <c r="AV154" i="1"/>
  <c r="AW154" i="1"/>
  <c r="AX154" i="1"/>
  <c r="AY118" i="1"/>
  <c r="AU118" i="1"/>
  <c r="AV118" i="1"/>
  <c r="AW118" i="1"/>
  <c r="AX118" i="1"/>
  <c r="AV220" i="1"/>
  <c r="AW220" i="1"/>
  <c r="AX220" i="1"/>
  <c r="AU220" i="1"/>
  <c r="AY220" i="1"/>
  <c r="AW240" i="1"/>
  <c r="AX240" i="1"/>
  <c r="AV240" i="1"/>
  <c r="AU240" i="1"/>
  <c r="AY240" i="1"/>
  <c r="AV300" i="1"/>
  <c r="AU300" i="1"/>
  <c r="AY300" i="1"/>
  <c r="AW300" i="1"/>
  <c r="AX300" i="1"/>
  <c r="AX280" i="1"/>
  <c r="AU280" i="1"/>
  <c r="AV280" i="1"/>
  <c r="AW280" i="1"/>
  <c r="AY280" i="1"/>
  <c r="AX235" i="1"/>
  <c r="AY235" i="1"/>
  <c r="AW235" i="1"/>
  <c r="AU235" i="1"/>
  <c r="AV235" i="1"/>
  <c r="AY96" i="1"/>
  <c r="AU96" i="1"/>
  <c r="AV96" i="1"/>
  <c r="AW96" i="1"/>
  <c r="AX96" i="1"/>
  <c r="AW86" i="1"/>
  <c r="AV86" i="1"/>
  <c r="AX86" i="1"/>
  <c r="AU86" i="1"/>
  <c r="AY86" i="1"/>
  <c r="AV44" i="1"/>
  <c r="AY44" i="1"/>
  <c r="AU44" i="1"/>
  <c r="AW44" i="1"/>
  <c r="AX44" i="1"/>
  <c r="AX75" i="1"/>
  <c r="AV75" i="1"/>
  <c r="AU75" i="1"/>
  <c r="AY75" i="1"/>
  <c r="AW75" i="1"/>
  <c r="AV93" i="1"/>
  <c r="AW93" i="1"/>
  <c r="AU93" i="1"/>
  <c r="AY93" i="1"/>
  <c r="AX93" i="1"/>
  <c r="AX224" i="1"/>
  <c r="AY224" i="1"/>
  <c r="AW224" i="1"/>
  <c r="AV224" i="1"/>
  <c r="AU224" i="1"/>
  <c r="AU292" i="1"/>
  <c r="AY292" i="1"/>
  <c r="AW292" i="1"/>
  <c r="AX292" i="1"/>
  <c r="AV292" i="1"/>
  <c r="AU192" i="1"/>
  <c r="AW192" i="1"/>
  <c r="AV192" i="1"/>
  <c r="AY192" i="1"/>
  <c r="AX192" i="1"/>
  <c r="AX164" i="1"/>
  <c r="AY164" i="1"/>
  <c r="AW164" i="1"/>
  <c r="AV164" i="1"/>
  <c r="AU164" i="1"/>
  <c r="AW135" i="1"/>
  <c r="AX135" i="1"/>
  <c r="AV135" i="1"/>
  <c r="AU135" i="1"/>
  <c r="AY135" i="1"/>
  <c r="AU234" i="1"/>
  <c r="AY234" i="1"/>
  <c r="AV234" i="1"/>
  <c r="AW234" i="1"/>
  <c r="AX234" i="1"/>
  <c r="AU209" i="1"/>
  <c r="AV209" i="1"/>
  <c r="AY209" i="1"/>
  <c r="AW209" i="1"/>
  <c r="AX209" i="1"/>
  <c r="AX266" i="1"/>
  <c r="AV266" i="1"/>
  <c r="AU266" i="1"/>
  <c r="AY266" i="1"/>
  <c r="AW266" i="1"/>
  <c r="AW287" i="1"/>
  <c r="AX287" i="1"/>
  <c r="AV287" i="1"/>
  <c r="AU287" i="1"/>
  <c r="AY287" i="1"/>
  <c r="AX299" i="1"/>
  <c r="AY299" i="1"/>
  <c r="AU299" i="1"/>
  <c r="AV299" i="1"/>
  <c r="AW299" i="1"/>
  <c r="S233" i="1"/>
  <c r="S248" i="1"/>
  <c r="S121" i="1"/>
  <c r="S278" i="1"/>
  <c r="S293" i="1"/>
  <c r="S166" i="1"/>
  <c r="S63" i="1"/>
  <c r="S112" i="1"/>
  <c r="S250" i="1"/>
  <c r="S264" i="1"/>
  <c r="S77" i="1"/>
  <c r="S195" i="1"/>
  <c r="S286" i="1"/>
  <c r="S80" i="1"/>
  <c r="S269" i="1"/>
  <c r="S275" i="1"/>
  <c r="S196" i="1"/>
  <c r="S71" i="1"/>
  <c r="S129" i="1"/>
  <c r="S183" i="1"/>
  <c r="S270" i="1"/>
  <c r="S289" i="1"/>
  <c r="S227" i="1"/>
  <c r="S153" i="1"/>
  <c r="S108" i="1"/>
  <c r="S230" i="1"/>
  <c r="S283" i="1"/>
  <c r="S60" i="1"/>
  <c r="S94" i="1"/>
  <c r="S149" i="1"/>
  <c r="S117" i="1"/>
  <c r="S221" i="1"/>
  <c r="S254" i="1"/>
  <c r="S194" i="1"/>
  <c r="S295" i="1"/>
  <c r="S155" i="1"/>
  <c r="S131" i="1"/>
  <c r="S273" i="1"/>
  <c r="S137" i="1"/>
  <c r="S119" i="1"/>
  <c r="S58" i="1"/>
  <c r="S92" i="1"/>
  <c r="S222" i="1"/>
  <c r="S201" i="1"/>
  <c r="S255" i="1"/>
  <c r="S207" i="1"/>
  <c r="S145" i="1"/>
  <c r="S133" i="1"/>
  <c r="S91" i="1"/>
  <c r="S73" i="1"/>
  <c r="S228" i="1"/>
  <c r="S217" i="1"/>
  <c r="S305" i="1"/>
  <c r="S111" i="1"/>
  <c r="S226" i="1"/>
  <c r="S253" i="1"/>
  <c r="S291" i="1"/>
  <c r="S301" i="1"/>
  <c r="S231" i="1"/>
  <c r="S213" i="1"/>
  <c r="S141" i="1"/>
  <c r="S72" i="1"/>
  <c r="S10" i="1"/>
  <c r="S38" i="1"/>
  <c r="S114" i="1"/>
  <c r="S279" i="1"/>
  <c r="S306" i="1"/>
  <c r="S136" i="1"/>
  <c r="S188" i="1"/>
  <c r="S135" i="1"/>
  <c r="S247" i="1"/>
  <c r="S288" i="1"/>
  <c r="S150" i="1"/>
  <c r="S147" i="1"/>
  <c r="S156" i="1"/>
  <c r="S118" i="1"/>
  <c r="S107" i="1"/>
  <c r="S193" i="1"/>
  <c r="S287" i="1"/>
  <c r="S236" i="1"/>
  <c r="S158" i="1"/>
  <c r="S93" i="1"/>
  <c r="S187" i="1"/>
  <c r="S249" i="1"/>
  <c r="S219" i="1"/>
  <c r="S274" i="1"/>
  <c r="AA285" i="1"/>
  <c r="AE285" i="1" s="1"/>
  <c r="AF285" i="1" s="1"/>
  <c r="Z285" i="1"/>
  <c r="AK285" i="1"/>
  <c r="Z172" i="1"/>
  <c r="S172" i="1"/>
  <c r="AA172" i="1"/>
  <c r="AE172" i="1" s="1"/>
  <c r="AF172" i="1" s="1"/>
  <c r="S139" i="1"/>
  <c r="S69" i="1"/>
  <c r="S83" i="1"/>
  <c r="AA25" i="1"/>
  <c r="AE25" i="1" s="1"/>
  <c r="AF25" i="1" s="1"/>
  <c r="AK25" i="1"/>
  <c r="Z25" i="1"/>
  <c r="AA53" i="1"/>
  <c r="AE53" i="1" s="1"/>
  <c r="AF53" i="1" s="1"/>
  <c r="AK53" i="1"/>
  <c r="Z53" i="1"/>
  <c r="Z10" i="1"/>
  <c r="AA10" i="1"/>
  <c r="AE10" i="1" s="1"/>
  <c r="AF10" i="1" s="1"/>
  <c r="Z38" i="1"/>
  <c r="AA38" i="1"/>
  <c r="AE38" i="1" s="1"/>
  <c r="AF38" i="1" s="1"/>
  <c r="AK38" i="1"/>
  <c r="Z62" i="1"/>
  <c r="S62" i="1"/>
  <c r="AA62" i="1"/>
  <c r="AE62" i="1" s="1"/>
  <c r="AF62" i="1" s="1"/>
  <c r="S74" i="1"/>
  <c r="Z68" i="1"/>
  <c r="AA68" i="1"/>
  <c r="AE68" i="1" s="1"/>
  <c r="AF68" i="1" s="1"/>
  <c r="AK68" i="1"/>
  <c r="Z100" i="1"/>
  <c r="AA100" i="1"/>
  <c r="AE100" i="1" s="1"/>
  <c r="AF100" i="1" s="1"/>
  <c r="AK100" i="1"/>
  <c r="S100" i="1"/>
  <c r="Z71" i="1"/>
  <c r="AA71" i="1"/>
  <c r="AE71" i="1" s="1"/>
  <c r="AF71" i="1" s="1"/>
  <c r="AK71" i="1"/>
  <c r="AK73" i="1"/>
  <c r="Z73" i="1"/>
  <c r="AA73" i="1"/>
  <c r="AE73" i="1" s="1"/>
  <c r="AF73" i="1" s="1"/>
  <c r="Z107" i="1"/>
  <c r="AA107" i="1"/>
  <c r="AE107" i="1" s="1"/>
  <c r="AF107" i="1" s="1"/>
  <c r="AK107" i="1"/>
  <c r="AA203" i="1"/>
  <c r="AE203" i="1" s="1"/>
  <c r="AF203" i="1" s="1"/>
  <c r="Z203" i="1"/>
  <c r="S203" i="1"/>
  <c r="AK203" i="1"/>
  <c r="Z178" i="1"/>
  <c r="AA178" i="1"/>
  <c r="AE178" i="1" s="1"/>
  <c r="AF178" i="1" s="1"/>
  <c r="Z185" i="1"/>
  <c r="S185" i="1"/>
  <c r="AA185" i="1"/>
  <c r="AE185" i="1" s="1"/>
  <c r="AF185" i="1" s="1"/>
  <c r="AK185" i="1"/>
  <c r="Z187" i="1"/>
  <c r="AA187" i="1"/>
  <c r="AE187" i="1" s="1"/>
  <c r="AF187" i="1" s="1"/>
  <c r="AK187" i="1"/>
  <c r="S197" i="1"/>
  <c r="S237" i="1"/>
  <c r="Z237" i="1"/>
  <c r="AK237" i="1"/>
  <c r="AA237" i="1"/>
  <c r="AE237" i="1" s="1"/>
  <c r="AF237" i="1" s="1"/>
  <c r="AA255" i="1"/>
  <c r="AE255" i="1" s="1"/>
  <c r="AF255" i="1" s="1"/>
  <c r="Z255" i="1"/>
  <c r="AK255" i="1"/>
  <c r="AA291" i="1"/>
  <c r="AE291" i="1" s="1"/>
  <c r="AF291" i="1" s="1"/>
  <c r="Z291" i="1"/>
  <c r="AK291" i="1"/>
  <c r="S299" i="1"/>
  <c r="S224" i="1"/>
  <c r="S164" i="1"/>
  <c r="S268" i="1"/>
  <c r="Z205" i="1"/>
  <c r="AA205" i="1"/>
  <c r="AE205" i="1" s="1"/>
  <c r="AF205" i="1" s="1"/>
  <c r="AK205" i="1"/>
  <c r="S206" i="1"/>
  <c r="AA161" i="1"/>
  <c r="AE161" i="1" s="1"/>
  <c r="AF161" i="1" s="1"/>
  <c r="AK161" i="1"/>
  <c r="Z161" i="1"/>
  <c r="AA147" i="1"/>
  <c r="AE147" i="1" s="1"/>
  <c r="AF147" i="1" s="1"/>
  <c r="AK147" i="1"/>
  <c r="Z147" i="1"/>
  <c r="AK156" i="1"/>
  <c r="Z156" i="1"/>
  <c r="AA156" i="1"/>
  <c r="AE156" i="1" s="1"/>
  <c r="AF156" i="1" s="1"/>
  <c r="AA144" i="1"/>
  <c r="AE144" i="1" s="1"/>
  <c r="AF144" i="1" s="1"/>
  <c r="Z144" i="1"/>
  <c r="AK144" i="1"/>
  <c r="AK132" i="1"/>
  <c r="AA132" i="1"/>
  <c r="AE132" i="1" s="1"/>
  <c r="AF132" i="1" s="1"/>
  <c r="Z132" i="1"/>
  <c r="Z120" i="1"/>
  <c r="AK120" i="1"/>
  <c r="AA120" i="1"/>
  <c r="AE120" i="1" s="1"/>
  <c r="AF120" i="1" s="1"/>
  <c r="S127" i="1"/>
  <c r="S154" i="1"/>
  <c r="S61" i="1"/>
  <c r="S59" i="1"/>
  <c r="AA23" i="1"/>
  <c r="AE23" i="1" s="1"/>
  <c r="AF23" i="1" s="1"/>
  <c r="AK23" i="1"/>
  <c r="Z23" i="1"/>
  <c r="AK51" i="1"/>
  <c r="AA51" i="1"/>
  <c r="AE51" i="1" s="1"/>
  <c r="AF51" i="1" s="1"/>
  <c r="Z51" i="1"/>
  <c r="AA193" i="1"/>
  <c r="AE193" i="1" s="1"/>
  <c r="AF193" i="1" s="1"/>
  <c r="AK193" i="1"/>
  <c r="Z193" i="1"/>
  <c r="S241" i="1"/>
  <c r="Z241" i="1"/>
  <c r="AK241" i="1"/>
  <c r="AA241" i="1"/>
  <c r="AE241" i="1" s="1"/>
  <c r="AF241" i="1" s="1"/>
  <c r="S216" i="1"/>
  <c r="Z207" i="1"/>
  <c r="AA207" i="1"/>
  <c r="AE207" i="1" s="1"/>
  <c r="AF207" i="1" s="1"/>
  <c r="Z236" i="1"/>
  <c r="AA236" i="1"/>
  <c r="AE236" i="1" s="1"/>
  <c r="AF236" i="1" s="1"/>
  <c r="AK236" i="1"/>
  <c r="S239" i="1"/>
  <c r="Z239" i="1"/>
  <c r="AA239" i="1"/>
  <c r="AE239" i="1" s="1"/>
  <c r="AF239" i="1" s="1"/>
  <c r="AK239" i="1"/>
  <c r="AK217" i="1"/>
  <c r="AA217" i="1"/>
  <c r="AE217" i="1" s="1"/>
  <c r="AF217" i="1" s="1"/>
  <c r="Z217" i="1"/>
  <c r="S252" i="1"/>
  <c r="Z252" i="1"/>
  <c r="AA252" i="1"/>
  <c r="AE252" i="1" s="1"/>
  <c r="AF252" i="1" s="1"/>
  <c r="AK252" i="1"/>
  <c r="S257" i="1"/>
  <c r="Z306" i="1"/>
  <c r="AA306" i="1"/>
  <c r="AE306" i="1" s="1"/>
  <c r="AF306" i="1" s="1"/>
  <c r="AK306" i="1"/>
  <c r="Z168" i="1"/>
  <c r="S168" i="1"/>
  <c r="AK168" i="1"/>
  <c r="AA168" i="1"/>
  <c r="AE168" i="1" s="1"/>
  <c r="AF168" i="1" s="1"/>
  <c r="Z298" i="1"/>
  <c r="AA298" i="1"/>
  <c r="AE298" i="1" s="1"/>
  <c r="AF298" i="1" s="1"/>
  <c r="S298" i="1"/>
  <c r="Z270" i="1"/>
  <c r="AK270" i="1"/>
  <c r="AA270" i="1"/>
  <c r="AE270" i="1" s="1"/>
  <c r="AF270" i="1" s="1"/>
  <c r="Z202" i="1"/>
  <c r="AA202" i="1"/>
  <c r="AE202" i="1" s="1"/>
  <c r="AF202" i="1" s="1"/>
  <c r="AK201" i="1"/>
  <c r="Z201" i="1"/>
  <c r="AA201" i="1"/>
  <c r="AE201" i="1" s="1"/>
  <c r="AF201" i="1" s="1"/>
  <c r="S182" i="1"/>
  <c r="S152" i="1"/>
  <c r="S144" i="1"/>
  <c r="S85" i="1"/>
  <c r="Z35" i="1"/>
  <c r="S35" i="1"/>
  <c r="AK35" i="1"/>
  <c r="AA35" i="1"/>
  <c r="AE35" i="1" s="1"/>
  <c r="AF35" i="1" s="1"/>
  <c r="AK58" i="1"/>
  <c r="Z58" i="1"/>
  <c r="AA58" i="1"/>
  <c r="AE58" i="1" s="1"/>
  <c r="AF58" i="1" s="1"/>
  <c r="AA92" i="1"/>
  <c r="AE92" i="1" s="1"/>
  <c r="AF92" i="1" s="1"/>
  <c r="AK92" i="1"/>
  <c r="Z92" i="1"/>
  <c r="Z28" i="1"/>
  <c r="S28" i="1"/>
  <c r="AK28" i="1"/>
  <c r="AA28" i="1"/>
  <c r="AE28" i="1" s="1"/>
  <c r="AF28" i="1" s="1"/>
  <c r="AK82" i="1"/>
  <c r="Z82" i="1"/>
  <c r="AA82" i="1"/>
  <c r="AE82" i="1" s="1"/>
  <c r="AF82" i="1" s="1"/>
  <c r="S25" i="1"/>
  <c r="S53" i="1"/>
  <c r="AA12" i="1"/>
  <c r="AE12" i="1" s="1"/>
  <c r="AF12" i="1" s="1"/>
  <c r="Z12" i="1"/>
  <c r="AK40" i="1"/>
  <c r="AA40" i="1"/>
  <c r="AE40" i="1" s="1"/>
  <c r="AF40" i="1" s="1"/>
  <c r="Z40" i="1"/>
  <c r="Z102" i="1"/>
  <c r="S102" i="1"/>
  <c r="AA102" i="1"/>
  <c r="AE102" i="1" s="1"/>
  <c r="AF102" i="1" s="1"/>
  <c r="AK102" i="1"/>
  <c r="Z114" i="1"/>
  <c r="AA114" i="1"/>
  <c r="AE114" i="1" s="1"/>
  <c r="AF114" i="1" s="1"/>
  <c r="Z67" i="1"/>
  <c r="AA67" i="1"/>
  <c r="AE67" i="1" s="1"/>
  <c r="AF67" i="1" s="1"/>
  <c r="AK67" i="1"/>
  <c r="Z115" i="1"/>
  <c r="AA115" i="1"/>
  <c r="AE115" i="1" s="1"/>
  <c r="AF115" i="1" s="1"/>
  <c r="Z108" i="1"/>
  <c r="AA108" i="1"/>
  <c r="AE108" i="1" s="1"/>
  <c r="AF108" i="1" s="1"/>
  <c r="AK108" i="1"/>
  <c r="Z179" i="1"/>
  <c r="AA179" i="1"/>
  <c r="AE179" i="1" s="1"/>
  <c r="AF179" i="1" s="1"/>
  <c r="S179" i="1"/>
  <c r="Z194" i="1"/>
  <c r="AK194" i="1"/>
  <c r="AA194" i="1"/>
  <c r="AE194" i="1" s="1"/>
  <c r="AF194" i="1" s="1"/>
  <c r="AA183" i="1"/>
  <c r="AE183" i="1" s="1"/>
  <c r="AF183" i="1" s="1"/>
  <c r="Z183" i="1"/>
  <c r="AK183" i="1"/>
  <c r="Z227" i="1"/>
  <c r="AK227" i="1"/>
  <c r="AA227" i="1"/>
  <c r="AE227" i="1" s="1"/>
  <c r="AF227" i="1" s="1"/>
  <c r="Z245" i="1"/>
  <c r="S245" i="1"/>
  <c r="AA245" i="1"/>
  <c r="AE245" i="1" s="1"/>
  <c r="AF245" i="1" s="1"/>
  <c r="AK245" i="1"/>
  <c r="S215" i="1"/>
  <c r="S234" i="1"/>
  <c r="AA283" i="1"/>
  <c r="AE283" i="1" s="1"/>
  <c r="AF283" i="1" s="1"/>
  <c r="AK283" i="1"/>
  <c r="Z283" i="1"/>
  <c r="S223" i="1"/>
  <c r="AA295" i="1"/>
  <c r="AE295" i="1" s="1"/>
  <c r="AF295" i="1" s="1"/>
  <c r="Z295" i="1"/>
  <c r="AK295" i="1"/>
  <c r="AA273" i="1"/>
  <c r="AE273" i="1" s="1"/>
  <c r="AF273" i="1" s="1"/>
  <c r="Z273" i="1"/>
  <c r="AK273" i="1"/>
  <c r="S178" i="1"/>
  <c r="AA162" i="1"/>
  <c r="AE162" i="1" s="1"/>
  <c r="AF162" i="1" s="1"/>
  <c r="Z162" i="1"/>
  <c r="S162" i="1"/>
  <c r="S148" i="1"/>
  <c r="AA153" i="1"/>
  <c r="AE153" i="1" s="1"/>
  <c r="AF153" i="1" s="1"/>
  <c r="Z153" i="1"/>
  <c r="AK153" i="1"/>
  <c r="AA141" i="1"/>
  <c r="AE141" i="1" s="1"/>
  <c r="AF141" i="1" s="1"/>
  <c r="Z141" i="1"/>
  <c r="AK141" i="1"/>
  <c r="AA129" i="1"/>
  <c r="AE129" i="1" s="1"/>
  <c r="AF129" i="1" s="1"/>
  <c r="Z129" i="1"/>
  <c r="AK129" i="1"/>
  <c r="AK117" i="1"/>
  <c r="Z117" i="1"/>
  <c r="AA117" i="1"/>
  <c r="AE117" i="1" s="1"/>
  <c r="AF117" i="1" s="1"/>
  <c r="S123" i="1"/>
  <c r="S95" i="1"/>
  <c r="Z97" i="1"/>
  <c r="S97" i="1"/>
  <c r="AA97" i="1"/>
  <c r="AE97" i="1" s="1"/>
  <c r="AF97" i="1" s="1"/>
  <c r="AK97" i="1"/>
  <c r="S78" i="1"/>
  <c r="S90" i="1"/>
  <c r="Z29" i="1"/>
  <c r="S29" i="1"/>
  <c r="AA29" i="1"/>
  <c r="AE29" i="1" s="1"/>
  <c r="AF29" i="1" s="1"/>
  <c r="Z60" i="1"/>
  <c r="AA60" i="1"/>
  <c r="AE60" i="1" s="1"/>
  <c r="AF60" i="1" s="1"/>
  <c r="AK60" i="1"/>
  <c r="Z94" i="1"/>
  <c r="AA94" i="1"/>
  <c r="AE94" i="1" s="1"/>
  <c r="AF94" i="1" s="1"/>
  <c r="AK94" i="1"/>
  <c r="S26" i="1"/>
  <c r="S54" i="1"/>
  <c r="S116" i="1"/>
  <c r="Z173" i="1"/>
  <c r="AA173" i="1"/>
  <c r="AE173" i="1" s="1"/>
  <c r="AF173" i="1" s="1"/>
  <c r="AK173" i="1"/>
  <c r="S173" i="1"/>
  <c r="AA177" i="1"/>
  <c r="AE177" i="1" s="1"/>
  <c r="AF177" i="1" s="1"/>
  <c r="AK177" i="1"/>
  <c r="Z177" i="1"/>
  <c r="S225" i="1"/>
  <c r="S209" i="1"/>
  <c r="Z230" i="1"/>
  <c r="AK230" i="1"/>
  <c r="AA230" i="1"/>
  <c r="AE230" i="1" s="1"/>
  <c r="AF230" i="1" s="1"/>
  <c r="S202" i="1"/>
  <c r="AA251" i="1"/>
  <c r="AE251" i="1" s="1"/>
  <c r="AF251" i="1" s="1"/>
  <c r="Z251" i="1"/>
  <c r="AK251" i="1"/>
  <c r="AK265" i="1"/>
  <c r="Z265" i="1"/>
  <c r="AA265" i="1"/>
  <c r="AE265" i="1" s="1"/>
  <c r="AF265" i="1" s="1"/>
  <c r="AA221" i="1"/>
  <c r="AE221" i="1" s="1"/>
  <c r="AF221" i="1" s="1"/>
  <c r="Z221" i="1"/>
  <c r="AK221" i="1"/>
  <c r="S276" i="1"/>
  <c r="AA289" i="1"/>
  <c r="AE289" i="1" s="1"/>
  <c r="AF289" i="1" s="1"/>
  <c r="Z289" i="1"/>
  <c r="AK289" i="1"/>
  <c r="Z305" i="1"/>
  <c r="AA305" i="1"/>
  <c r="AE305" i="1" s="1"/>
  <c r="AF305" i="1" s="1"/>
  <c r="AK305" i="1"/>
  <c r="Z57" i="1"/>
  <c r="AA57" i="1"/>
  <c r="AE57" i="1" s="1"/>
  <c r="AF57" i="1" s="1"/>
  <c r="AK57" i="1"/>
  <c r="S57" i="1"/>
  <c r="AA21" i="1"/>
  <c r="AE21" i="1" s="1"/>
  <c r="AF21" i="1" s="1"/>
  <c r="Z21" i="1"/>
  <c r="AK21" i="1"/>
  <c r="Z26" i="1"/>
  <c r="AA26" i="1"/>
  <c r="AE26" i="1" s="1"/>
  <c r="AF26" i="1" s="1"/>
  <c r="Z54" i="1"/>
  <c r="AA54" i="1"/>
  <c r="AE54" i="1" s="1"/>
  <c r="AF54" i="1" s="1"/>
  <c r="AK54" i="1"/>
  <c r="Z84" i="1"/>
  <c r="AA84" i="1"/>
  <c r="AE84" i="1" s="1"/>
  <c r="AF84" i="1" s="1"/>
  <c r="S84" i="1"/>
  <c r="Z34" i="1"/>
  <c r="S34" i="1"/>
  <c r="AA34" i="1"/>
  <c r="AE34" i="1" s="1"/>
  <c r="AF34" i="1" s="1"/>
  <c r="AK34" i="1"/>
  <c r="Z83" i="1"/>
  <c r="AA83" i="1"/>
  <c r="AE83" i="1" s="1"/>
  <c r="AF83" i="1" s="1"/>
  <c r="AK83" i="1"/>
  <c r="Z98" i="1"/>
  <c r="S98" i="1"/>
  <c r="AA98" i="1"/>
  <c r="AE98" i="1" s="1"/>
  <c r="AF98" i="1" s="1"/>
  <c r="AK98" i="1"/>
  <c r="AK85" i="1"/>
  <c r="AA85" i="1"/>
  <c r="AE85" i="1" s="1"/>
  <c r="AF85" i="1" s="1"/>
  <c r="Z85" i="1"/>
  <c r="Z113" i="1"/>
  <c r="AA113" i="1"/>
  <c r="AE113" i="1" s="1"/>
  <c r="AF113" i="1" s="1"/>
  <c r="AK113" i="1"/>
  <c r="AK125" i="1"/>
  <c r="AA125" i="1"/>
  <c r="AE125" i="1" s="1"/>
  <c r="AF125" i="1" s="1"/>
  <c r="Z125" i="1"/>
  <c r="Z190" i="1"/>
  <c r="AK190" i="1"/>
  <c r="AA190" i="1"/>
  <c r="AE190" i="1" s="1"/>
  <c r="AF190" i="1" s="1"/>
  <c r="Z208" i="1"/>
  <c r="AA208" i="1"/>
  <c r="AE208" i="1" s="1"/>
  <c r="AF208" i="1" s="1"/>
  <c r="AK208" i="1"/>
  <c r="Z214" i="1"/>
  <c r="AA214" i="1"/>
  <c r="AE214" i="1" s="1"/>
  <c r="AF214" i="1" s="1"/>
  <c r="AK214" i="1"/>
  <c r="AA210" i="1"/>
  <c r="AE210" i="1" s="1"/>
  <c r="AF210" i="1" s="1"/>
  <c r="AK210" i="1"/>
  <c r="Z210" i="1"/>
  <c r="S272" i="1"/>
  <c r="Z272" i="1"/>
  <c r="AK272" i="1"/>
  <c r="AA272" i="1"/>
  <c r="AE272" i="1" s="1"/>
  <c r="AF272" i="1" s="1"/>
  <c r="AA199" i="1"/>
  <c r="AE199" i="1" s="1"/>
  <c r="AF199" i="1" s="1"/>
  <c r="AK199" i="1"/>
  <c r="Z199" i="1"/>
  <c r="AA204" i="1"/>
  <c r="AE204" i="1" s="1"/>
  <c r="AF204" i="1" s="1"/>
  <c r="AK204" i="1"/>
  <c r="Z204" i="1"/>
  <c r="S190" i="1"/>
  <c r="AK138" i="1"/>
  <c r="Z138" i="1"/>
  <c r="AA138" i="1"/>
  <c r="AE138" i="1" s="1"/>
  <c r="AF138" i="1" s="1"/>
  <c r="Z146" i="1"/>
  <c r="AA146" i="1"/>
  <c r="AE146" i="1" s="1"/>
  <c r="AF146" i="1" s="1"/>
  <c r="AK146" i="1"/>
  <c r="Z134" i="1"/>
  <c r="AK134" i="1"/>
  <c r="AA134" i="1"/>
  <c r="AE134" i="1" s="1"/>
  <c r="AF134" i="1" s="1"/>
  <c r="AA122" i="1"/>
  <c r="AE122" i="1" s="1"/>
  <c r="AF122" i="1" s="1"/>
  <c r="Z122" i="1"/>
  <c r="AK122" i="1"/>
  <c r="Z101" i="1"/>
  <c r="AA101" i="1"/>
  <c r="AE101" i="1" s="1"/>
  <c r="AF101" i="1" s="1"/>
  <c r="AK101" i="1"/>
  <c r="S101" i="1"/>
  <c r="Z15" i="1"/>
  <c r="AA15" i="1"/>
  <c r="AE15" i="1" s="1"/>
  <c r="AF15" i="1" s="1"/>
  <c r="AK15" i="1"/>
  <c r="AK19" i="1"/>
  <c r="Z19" i="1"/>
  <c r="AA19" i="1"/>
  <c r="AE19" i="1" s="1"/>
  <c r="AF19" i="1" s="1"/>
  <c r="Z43" i="1"/>
  <c r="AA43" i="1"/>
  <c r="AE43" i="1" s="1"/>
  <c r="AF43" i="1" s="1"/>
  <c r="AK43" i="1"/>
  <c r="Z180" i="1"/>
  <c r="AK180" i="1"/>
  <c r="AA180" i="1"/>
  <c r="AE180" i="1" s="1"/>
  <c r="AF180" i="1" s="1"/>
  <c r="AK218" i="1"/>
  <c r="AA218" i="1"/>
  <c r="AE218" i="1" s="1"/>
  <c r="AF218" i="1" s="1"/>
  <c r="Z218" i="1"/>
  <c r="S242" i="1"/>
  <c r="Z242" i="1"/>
  <c r="AK242" i="1"/>
  <c r="AA242" i="1"/>
  <c r="AE242" i="1" s="1"/>
  <c r="AF242" i="1" s="1"/>
  <c r="AA232" i="1"/>
  <c r="AE232" i="1" s="1"/>
  <c r="AF232" i="1" s="1"/>
  <c r="AK232" i="1"/>
  <c r="Z232" i="1"/>
  <c r="AA229" i="1"/>
  <c r="AE229" i="1" s="1"/>
  <c r="AF229" i="1" s="1"/>
  <c r="AK229" i="1"/>
  <c r="Z229" i="1"/>
  <c r="Z304" i="1"/>
  <c r="AA304" i="1"/>
  <c r="AE304" i="1" s="1"/>
  <c r="AF304" i="1" s="1"/>
  <c r="AK304" i="1"/>
  <c r="AA281" i="1"/>
  <c r="AE281" i="1" s="1"/>
  <c r="AF281" i="1" s="1"/>
  <c r="Z281" i="1"/>
  <c r="AK281" i="1"/>
  <c r="AK165" i="1"/>
  <c r="Z165" i="1"/>
  <c r="AA165" i="1"/>
  <c r="AE165" i="1" s="1"/>
  <c r="AF165" i="1" s="1"/>
  <c r="Z296" i="1"/>
  <c r="AK296" i="1"/>
  <c r="AA296" i="1"/>
  <c r="AE296" i="1" s="1"/>
  <c r="AF296" i="1" s="1"/>
  <c r="AA284" i="1"/>
  <c r="AE284" i="1" s="1"/>
  <c r="AF284" i="1" s="1"/>
  <c r="AK284" i="1"/>
  <c r="Z284" i="1"/>
  <c r="AK163" i="1"/>
  <c r="Z163" i="1"/>
  <c r="AA163" i="1"/>
  <c r="AE163" i="1" s="1"/>
  <c r="AF163" i="1" s="1"/>
  <c r="S146" i="1"/>
  <c r="Z31" i="1"/>
  <c r="S31" i="1"/>
  <c r="AK31" i="1"/>
  <c r="AA31" i="1"/>
  <c r="AE31" i="1" s="1"/>
  <c r="AF31" i="1" s="1"/>
  <c r="Z74" i="1"/>
  <c r="AA74" i="1"/>
  <c r="AE74" i="1" s="1"/>
  <c r="AF74" i="1" s="1"/>
  <c r="AK74" i="1"/>
  <c r="Z24" i="1"/>
  <c r="S24" i="1"/>
  <c r="AA24" i="1"/>
  <c r="AE24" i="1" s="1"/>
  <c r="AF24" i="1" s="1"/>
  <c r="Z64" i="1"/>
  <c r="AA64" i="1"/>
  <c r="AE64" i="1" s="1"/>
  <c r="AF64" i="1" s="1"/>
  <c r="AK64" i="1"/>
  <c r="Z106" i="1"/>
  <c r="S106" i="1"/>
  <c r="AA106" i="1"/>
  <c r="AE106" i="1" s="1"/>
  <c r="AF106" i="1" s="1"/>
  <c r="AK106" i="1"/>
  <c r="S21" i="1"/>
  <c r="AA8" i="1"/>
  <c r="AE8" i="1" s="1"/>
  <c r="AF8" i="1" s="1"/>
  <c r="Z8" i="1"/>
  <c r="AK8" i="1"/>
  <c r="AA56" i="1"/>
  <c r="AE56" i="1" s="1"/>
  <c r="AF56" i="1" s="1"/>
  <c r="Z56" i="1"/>
  <c r="AK56" i="1"/>
  <c r="Z79" i="1"/>
  <c r="AA79" i="1"/>
  <c r="AE79" i="1" s="1"/>
  <c r="AF79" i="1" s="1"/>
  <c r="AK79" i="1"/>
  <c r="Z116" i="1"/>
  <c r="AA116" i="1"/>
  <c r="AE116" i="1" s="1"/>
  <c r="AF116" i="1" s="1"/>
  <c r="AK116" i="1"/>
  <c r="Z69" i="1"/>
  <c r="AA69" i="1"/>
  <c r="AE69" i="1" s="1"/>
  <c r="AF69" i="1" s="1"/>
  <c r="AK69" i="1"/>
  <c r="Z126" i="1"/>
  <c r="AK126" i="1"/>
  <c r="AA126" i="1"/>
  <c r="AE126" i="1" s="1"/>
  <c r="AF126" i="1" s="1"/>
  <c r="Z206" i="1"/>
  <c r="AK206" i="1"/>
  <c r="AA206" i="1"/>
  <c r="AE206" i="1" s="1"/>
  <c r="AF206" i="1" s="1"/>
  <c r="Z189" i="1"/>
  <c r="S189" i="1"/>
  <c r="AA189" i="1"/>
  <c r="AE189" i="1" s="1"/>
  <c r="AF189" i="1" s="1"/>
  <c r="S238" i="1"/>
  <c r="Z238" i="1"/>
  <c r="AK238" i="1"/>
  <c r="AA238" i="1"/>
  <c r="AE238" i="1" s="1"/>
  <c r="AF238" i="1" s="1"/>
  <c r="S208" i="1"/>
  <c r="AK211" i="1"/>
  <c r="AA211" i="1"/>
  <c r="AE211" i="1" s="1"/>
  <c r="AF211" i="1" s="1"/>
  <c r="Z211" i="1"/>
  <c r="Z303" i="1"/>
  <c r="AA303" i="1"/>
  <c r="AE303" i="1" s="1"/>
  <c r="AF303" i="1" s="1"/>
  <c r="S303" i="1"/>
  <c r="AK271" i="1"/>
  <c r="Z271" i="1"/>
  <c r="AA271" i="1"/>
  <c r="AE271" i="1" s="1"/>
  <c r="AF271" i="1" s="1"/>
  <c r="AK215" i="1"/>
  <c r="Z215" i="1"/>
  <c r="AA215" i="1"/>
  <c r="AE215" i="1" s="1"/>
  <c r="AF215" i="1" s="1"/>
  <c r="AK198" i="1"/>
  <c r="AA198" i="1"/>
  <c r="AE198" i="1" s="1"/>
  <c r="AF198" i="1" s="1"/>
  <c r="Z198" i="1"/>
  <c r="S180" i="1"/>
  <c r="Z176" i="1"/>
  <c r="S176" i="1"/>
  <c r="AK176" i="1"/>
  <c r="AA176" i="1"/>
  <c r="AE176" i="1" s="1"/>
  <c r="AF176" i="1" s="1"/>
  <c r="AA149" i="1"/>
  <c r="AE149" i="1" s="1"/>
  <c r="AF149" i="1" s="1"/>
  <c r="AK149" i="1"/>
  <c r="Z149" i="1"/>
  <c r="AK155" i="1"/>
  <c r="Z155" i="1"/>
  <c r="AA155" i="1"/>
  <c r="AE155" i="1" s="1"/>
  <c r="AF155" i="1" s="1"/>
  <c r="AA143" i="1"/>
  <c r="AE143" i="1" s="1"/>
  <c r="AF143" i="1" s="1"/>
  <c r="Z143" i="1"/>
  <c r="AK143" i="1"/>
  <c r="AA131" i="1"/>
  <c r="AE131" i="1" s="1"/>
  <c r="AF131" i="1" s="1"/>
  <c r="Z131" i="1"/>
  <c r="AK131" i="1"/>
  <c r="Z119" i="1"/>
  <c r="AK119" i="1"/>
  <c r="AA119" i="1"/>
  <c r="AE119" i="1" s="1"/>
  <c r="AF119" i="1" s="1"/>
  <c r="S140" i="1"/>
  <c r="Z103" i="1"/>
  <c r="S103" i="1"/>
  <c r="AK103" i="1"/>
  <c r="AA103" i="1"/>
  <c r="AE103" i="1" s="1"/>
  <c r="AF103" i="1" s="1"/>
  <c r="Z45" i="1"/>
  <c r="S45" i="1"/>
  <c r="AA45" i="1"/>
  <c r="AE45" i="1" s="1"/>
  <c r="AF45" i="1" s="1"/>
  <c r="Z76" i="1"/>
  <c r="AA76" i="1"/>
  <c r="AE76" i="1" s="1"/>
  <c r="AF76" i="1" s="1"/>
  <c r="AK76" i="1"/>
  <c r="S22" i="1"/>
  <c r="S46" i="1"/>
  <c r="S50" i="1"/>
  <c r="S88" i="1"/>
  <c r="S151" i="1"/>
  <c r="Z184" i="1"/>
  <c r="AK184" i="1"/>
  <c r="AA184" i="1"/>
  <c r="AE184" i="1" s="1"/>
  <c r="AF184" i="1" s="1"/>
  <c r="S198" i="1"/>
  <c r="AK248" i="1"/>
  <c r="Z248" i="1"/>
  <c r="AA248" i="1"/>
  <c r="AE248" i="1" s="1"/>
  <c r="AF248" i="1" s="1"/>
  <c r="Z261" i="1"/>
  <c r="AA261" i="1"/>
  <c r="AE261" i="1" s="1"/>
  <c r="AF261" i="1" s="1"/>
  <c r="AK261" i="1"/>
  <c r="AA233" i="1"/>
  <c r="AE233" i="1" s="1"/>
  <c r="AF233" i="1" s="1"/>
  <c r="Z233" i="1"/>
  <c r="AK233" i="1"/>
  <c r="Z254" i="1"/>
  <c r="AK254" i="1"/>
  <c r="AA254" i="1"/>
  <c r="AE254" i="1" s="1"/>
  <c r="AF254" i="1" s="1"/>
  <c r="S285" i="1"/>
  <c r="S302" i="1"/>
  <c r="S220" i="1"/>
  <c r="S122" i="1"/>
  <c r="S113" i="1"/>
  <c r="Z99" i="1"/>
  <c r="AA99" i="1"/>
  <c r="AE99" i="1" s="1"/>
  <c r="AF99" i="1" s="1"/>
  <c r="S99" i="1"/>
  <c r="AK99" i="1"/>
  <c r="AA13" i="1"/>
  <c r="AE13" i="1" s="1"/>
  <c r="AF13" i="1" s="1"/>
  <c r="Z13" i="1"/>
  <c r="AK13" i="1"/>
  <c r="AA41" i="1"/>
  <c r="AE41" i="1" s="1"/>
  <c r="AF41" i="1" s="1"/>
  <c r="Z41" i="1"/>
  <c r="AK41" i="1"/>
  <c r="Z22" i="1"/>
  <c r="AA22" i="1"/>
  <c r="AE22" i="1" s="1"/>
  <c r="AF22" i="1" s="1"/>
  <c r="AK22" i="1"/>
  <c r="Z46" i="1"/>
  <c r="AA46" i="1"/>
  <c r="AE46" i="1" s="1"/>
  <c r="AF46" i="1" s="1"/>
  <c r="AK46" i="1"/>
  <c r="Z50" i="1"/>
  <c r="AA50" i="1"/>
  <c r="AE50" i="1" s="1"/>
  <c r="AF50" i="1" s="1"/>
  <c r="AK50" i="1"/>
  <c r="S96" i="1"/>
  <c r="Z30" i="1"/>
  <c r="S30" i="1"/>
  <c r="AA30" i="1"/>
  <c r="AE30" i="1" s="1"/>
  <c r="AF30" i="1" s="1"/>
  <c r="AK30" i="1"/>
  <c r="Z90" i="1"/>
  <c r="AA90" i="1"/>
  <c r="AE90" i="1" s="1"/>
  <c r="AF90" i="1" s="1"/>
  <c r="AK90" i="1"/>
  <c r="AK95" i="1"/>
  <c r="AA95" i="1"/>
  <c r="AE95" i="1" s="1"/>
  <c r="AF95" i="1" s="1"/>
  <c r="Z95" i="1"/>
  <c r="S126" i="1"/>
  <c r="Z77" i="1"/>
  <c r="AA77" i="1"/>
  <c r="AE77" i="1" s="1"/>
  <c r="AF77" i="1" s="1"/>
  <c r="AK77" i="1"/>
  <c r="AA111" i="1"/>
  <c r="AE111" i="1" s="1"/>
  <c r="AF111" i="1" s="1"/>
  <c r="AK111" i="1"/>
  <c r="Z111" i="1"/>
  <c r="AA123" i="1"/>
  <c r="AE123" i="1" s="1"/>
  <c r="AF123" i="1" s="1"/>
  <c r="AK123" i="1"/>
  <c r="Z123" i="1"/>
  <c r="Z231" i="1"/>
  <c r="AA231" i="1"/>
  <c r="AE231" i="1" s="1"/>
  <c r="AF231" i="1" s="1"/>
  <c r="AK231" i="1"/>
  <c r="AA195" i="1"/>
  <c r="AE195" i="1" s="1"/>
  <c r="AF195" i="1" s="1"/>
  <c r="AK195" i="1"/>
  <c r="Z195" i="1"/>
  <c r="S210" i="1"/>
  <c r="Z219" i="1"/>
  <c r="AA219" i="1"/>
  <c r="AE219" i="1" s="1"/>
  <c r="AF219" i="1" s="1"/>
  <c r="AK219" i="1"/>
  <c r="Z223" i="1"/>
  <c r="AK223" i="1"/>
  <c r="AA223" i="1"/>
  <c r="AE223" i="1" s="1"/>
  <c r="AF223" i="1" s="1"/>
  <c r="S266" i="1"/>
  <c r="S294" i="1"/>
  <c r="AA279" i="1"/>
  <c r="AE279" i="1" s="1"/>
  <c r="AF279" i="1" s="1"/>
  <c r="AK279" i="1"/>
  <c r="Z279" i="1"/>
  <c r="AA258" i="1"/>
  <c r="AE258" i="1" s="1"/>
  <c r="AF258" i="1" s="1"/>
  <c r="AK258" i="1"/>
  <c r="Z258" i="1"/>
  <c r="AA216" i="1"/>
  <c r="AE216" i="1" s="1"/>
  <c r="AF216" i="1" s="1"/>
  <c r="AK216" i="1"/>
  <c r="Z216" i="1"/>
  <c r="S165" i="1"/>
  <c r="AK152" i="1"/>
  <c r="AA152" i="1"/>
  <c r="AE152" i="1" s="1"/>
  <c r="AF152" i="1" s="1"/>
  <c r="Z152" i="1"/>
  <c r="AA140" i="1"/>
  <c r="AE140" i="1" s="1"/>
  <c r="AF140" i="1" s="1"/>
  <c r="Z140" i="1"/>
  <c r="AK140" i="1"/>
  <c r="AA128" i="1"/>
  <c r="AE128" i="1" s="1"/>
  <c r="AF128" i="1" s="1"/>
  <c r="Z128" i="1"/>
  <c r="AK128" i="1"/>
  <c r="Z136" i="1"/>
  <c r="AA136" i="1"/>
  <c r="AE136" i="1" s="1"/>
  <c r="AF136" i="1" s="1"/>
  <c r="AK136" i="1"/>
  <c r="S132" i="1"/>
  <c r="S120" i="1"/>
  <c r="S79" i="1"/>
  <c r="S65" i="1"/>
  <c r="AA11" i="1"/>
  <c r="AE11" i="1" s="1"/>
  <c r="AF11" i="1" s="1"/>
  <c r="AK11" i="1"/>
  <c r="Z11" i="1"/>
  <c r="AA39" i="1"/>
  <c r="AE39" i="1" s="1"/>
  <c r="AF39" i="1" s="1"/>
  <c r="AK39" i="1"/>
  <c r="Z39" i="1"/>
  <c r="Z157" i="1"/>
  <c r="S157" i="1"/>
  <c r="AA157" i="1"/>
  <c r="AE157" i="1" s="1"/>
  <c r="AF157" i="1" s="1"/>
  <c r="S262" i="1"/>
  <c r="Z262" i="1"/>
  <c r="AK262" i="1"/>
  <c r="AA262" i="1"/>
  <c r="AE262" i="1" s="1"/>
  <c r="AF262" i="1" s="1"/>
  <c r="Z228" i="1"/>
  <c r="AA228" i="1"/>
  <c r="AE228" i="1" s="1"/>
  <c r="AF228" i="1" s="1"/>
  <c r="AK228" i="1"/>
  <c r="Z213" i="1"/>
  <c r="AK213" i="1"/>
  <c r="AA213" i="1"/>
  <c r="AE213" i="1" s="1"/>
  <c r="AF213" i="1" s="1"/>
  <c r="S244" i="1"/>
  <c r="Z244" i="1"/>
  <c r="AA244" i="1"/>
  <c r="AE244" i="1" s="1"/>
  <c r="AF244" i="1" s="1"/>
  <c r="AK244" i="1"/>
  <c r="S281" i="1"/>
  <c r="Z302" i="1"/>
  <c r="AA302" i="1"/>
  <c r="AE302" i="1" s="1"/>
  <c r="AF302" i="1" s="1"/>
  <c r="AK302" i="1"/>
  <c r="AK269" i="1"/>
  <c r="Z269" i="1"/>
  <c r="AA269" i="1"/>
  <c r="AE269" i="1" s="1"/>
  <c r="AF269" i="1" s="1"/>
  <c r="AK297" i="1"/>
  <c r="AA297" i="1"/>
  <c r="AE297" i="1" s="1"/>
  <c r="AF297" i="1" s="1"/>
  <c r="Z297" i="1"/>
  <c r="AA278" i="1"/>
  <c r="AE278" i="1" s="1"/>
  <c r="AF278" i="1" s="1"/>
  <c r="Z278" i="1"/>
  <c r="AK278" i="1"/>
  <c r="AA286" i="1"/>
  <c r="AE286" i="1" s="1"/>
  <c r="AF286" i="1" s="1"/>
  <c r="Z286" i="1"/>
  <c r="AK286" i="1"/>
  <c r="AK293" i="1"/>
  <c r="AA293" i="1"/>
  <c r="AE293" i="1" s="1"/>
  <c r="AF293" i="1" s="1"/>
  <c r="Z293" i="1"/>
  <c r="S211" i="1"/>
  <c r="S205" i="1"/>
  <c r="S186" i="1"/>
  <c r="Z174" i="1"/>
  <c r="AA174" i="1"/>
  <c r="AE174" i="1" s="1"/>
  <c r="AF174" i="1" s="1"/>
  <c r="AK174" i="1"/>
  <c r="S174" i="1"/>
  <c r="S161" i="1"/>
  <c r="S163" i="1"/>
  <c r="S143" i="1"/>
  <c r="S128" i="1"/>
  <c r="S81" i="1"/>
  <c r="Z27" i="1"/>
  <c r="S27" i="1"/>
  <c r="AK27" i="1"/>
  <c r="AA27" i="1"/>
  <c r="AE27" i="1" s="1"/>
  <c r="AF27" i="1" s="1"/>
  <c r="AA80" i="1"/>
  <c r="AE80" i="1" s="1"/>
  <c r="AF80" i="1" s="1"/>
  <c r="AK80" i="1"/>
  <c r="Z80" i="1"/>
  <c r="Z36" i="1"/>
  <c r="S36" i="1"/>
  <c r="AK36" i="1"/>
  <c r="AA36" i="1"/>
  <c r="AE36" i="1" s="1"/>
  <c r="AF36" i="1" s="1"/>
  <c r="AK70" i="1"/>
  <c r="Z70" i="1"/>
  <c r="AA70" i="1"/>
  <c r="AE70" i="1" s="1"/>
  <c r="AF70" i="1" s="1"/>
  <c r="S13" i="1"/>
  <c r="S41" i="1"/>
  <c r="AK52" i="1"/>
  <c r="AA52" i="1"/>
  <c r="AE52" i="1" s="1"/>
  <c r="AF52" i="1" s="1"/>
  <c r="Z52" i="1"/>
  <c r="Z63" i="1"/>
  <c r="AK63" i="1"/>
  <c r="AA63" i="1"/>
  <c r="AE63" i="1" s="1"/>
  <c r="AF63" i="1" s="1"/>
  <c r="Z91" i="1"/>
  <c r="AA91" i="1"/>
  <c r="AE91" i="1" s="1"/>
  <c r="AF91" i="1" s="1"/>
  <c r="AK91" i="1"/>
  <c r="S110" i="1"/>
  <c r="Z81" i="1"/>
  <c r="AA81" i="1"/>
  <c r="AE81" i="1" s="1"/>
  <c r="AF81" i="1" s="1"/>
  <c r="AK81" i="1"/>
  <c r="Z112" i="1"/>
  <c r="AA112" i="1"/>
  <c r="AE112" i="1" s="1"/>
  <c r="AF112" i="1" s="1"/>
  <c r="AK112" i="1"/>
  <c r="AA124" i="1"/>
  <c r="AE124" i="1" s="1"/>
  <c r="AF124" i="1" s="1"/>
  <c r="AK124" i="1"/>
  <c r="Z124" i="1"/>
  <c r="Z181" i="1"/>
  <c r="AA181" i="1"/>
  <c r="AE181" i="1" s="1"/>
  <c r="AF181" i="1" s="1"/>
  <c r="AK181" i="1"/>
  <c r="AA263" i="1"/>
  <c r="AE263" i="1" s="1"/>
  <c r="AF263" i="1" s="1"/>
  <c r="Z263" i="1"/>
  <c r="AK263" i="1"/>
  <c r="S214" i="1"/>
  <c r="S212" i="1"/>
  <c r="AA222" i="1"/>
  <c r="AE222" i="1" s="1"/>
  <c r="AF222" i="1" s="1"/>
  <c r="AK222" i="1"/>
  <c r="Z222" i="1"/>
  <c r="AA274" i="1"/>
  <c r="AE274" i="1" s="1"/>
  <c r="AF274" i="1" s="1"/>
  <c r="Z274" i="1"/>
  <c r="AK274" i="1"/>
  <c r="S296" i="1"/>
  <c r="Z290" i="1"/>
  <c r="AK290" i="1"/>
  <c r="AA290" i="1"/>
  <c r="AE290" i="1" s="1"/>
  <c r="AF290" i="1" s="1"/>
  <c r="S290" i="1"/>
  <c r="S297" i="1"/>
  <c r="AK275" i="1"/>
  <c r="AA275" i="1"/>
  <c r="AE275" i="1" s="1"/>
  <c r="AF275" i="1" s="1"/>
  <c r="Z275" i="1"/>
  <c r="AK259" i="1"/>
  <c r="AA259" i="1"/>
  <c r="AE259" i="1" s="1"/>
  <c r="AF259" i="1" s="1"/>
  <c r="Z259" i="1"/>
  <c r="S204" i="1"/>
  <c r="Z170" i="1"/>
  <c r="AK170" i="1"/>
  <c r="S170" i="1"/>
  <c r="AA170" i="1"/>
  <c r="AE170" i="1" s="1"/>
  <c r="AF170" i="1" s="1"/>
  <c r="AK159" i="1"/>
  <c r="Z159" i="1"/>
  <c r="AA159" i="1"/>
  <c r="AE159" i="1" s="1"/>
  <c r="AF159" i="1" s="1"/>
  <c r="S159" i="1"/>
  <c r="AA166" i="1"/>
  <c r="AE166" i="1" s="1"/>
  <c r="AF166" i="1" s="1"/>
  <c r="AK166" i="1"/>
  <c r="Z166" i="1"/>
  <c r="Z137" i="1"/>
  <c r="AA137" i="1"/>
  <c r="AE137" i="1" s="1"/>
  <c r="AF137" i="1" s="1"/>
  <c r="AK137" i="1"/>
  <c r="AA145" i="1"/>
  <c r="AE145" i="1" s="1"/>
  <c r="AF145" i="1" s="1"/>
  <c r="Z145" i="1"/>
  <c r="AK145" i="1"/>
  <c r="AK133" i="1"/>
  <c r="Z133" i="1"/>
  <c r="AA133" i="1"/>
  <c r="AE133" i="1" s="1"/>
  <c r="AF133" i="1" s="1"/>
  <c r="AK121" i="1"/>
  <c r="AA121" i="1"/>
  <c r="AE121" i="1" s="1"/>
  <c r="AF121" i="1" s="1"/>
  <c r="Z121" i="1"/>
  <c r="Z105" i="1"/>
  <c r="AA105" i="1"/>
  <c r="AE105" i="1" s="1"/>
  <c r="AF105" i="1" s="1"/>
  <c r="AK105" i="1"/>
  <c r="S105" i="1"/>
  <c r="S75" i="1"/>
  <c r="S76" i="1"/>
  <c r="Z88" i="1"/>
  <c r="AA88" i="1"/>
  <c r="AE88" i="1" s="1"/>
  <c r="AF88" i="1" s="1"/>
  <c r="S68" i="1"/>
  <c r="Z17" i="1"/>
  <c r="S17" i="1"/>
  <c r="AA17" i="1"/>
  <c r="AE17" i="1" s="1"/>
  <c r="AF17" i="1" s="1"/>
  <c r="Z37" i="1"/>
  <c r="S37" i="1"/>
  <c r="AA37" i="1"/>
  <c r="AE37" i="1" s="1"/>
  <c r="AF37" i="1" s="1"/>
  <c r="AK37" i="1"/>
  <c r="Z72" i="1"/>
  <c r="AA72" i="1"/>
  <c r="AE72" i="1" s="1"/>
  <c r="AF72" i="1" s="1"/>
  <c r="AK72" i="1"/>
  <c r="S14" i="1"/>
  <c r="S18" i="1"/>
  <c r="S42" i="1"/>
  <c r="S66" i="1"/>
  <c r="Z171" i="1"/>
  <c r="S171" i="1"/>
  <c r="AA171" i="1"/>
  <c r="AE171" i="1" s="1"/>
  <c r="AF171" i="1" s="1"/>
  <c r="AK171" i="1"/>
  <c r="AK196" i="1"/>
  <c r="Z196" i="1"/>
  <c r="AA196" i="1"/>
  <c r="AE196" i="1" s="1"/>
  <c r="AF196" i="1" s="1"/>
  <c r="AA256" i="1"/>
  <c r="AE256" i="1" s="1"/>
  <c r="AF256" i="1" s="1"/>
  <c r="Z256" i="1"/>
  <c r="AK256" i="1"/>
  <c r="S229" i="1"/>
  <c r="AA226" i="1"/>
  <c r="AE226" i="1" s="1"/>
  <c r="AF226" i="1" s="1"/>
  <c r="AK226" i="1"/>
  <c r="Z226" i="1"/>
  <c r="AA264" i="1"/>
  <c r="AE264" i="1" s="1"/>
  <c r="AF264" i="1" s="1"/>
  <c r="Z264" i="1"/>
  <c r="AK264" i="1"/>
  <c r="AK253" i="1"/>
  <c r="AA253" i="1"/>
  <c r="AE253" i="1" s="1"/>
  <c r="AF253" i="1" s="1"/>
  <c r="Z253" i="1"/>
  <c r="AA282" i="1"/>
  <c r="AE282" i="1" s="1"/>
  <c r="AF282" i="1" s="1"/>
  <c r="S282" i="1"/>
  <c r="AK282" i="1"/>
  <c r="Z282" i="1"/>
  <c r="AK250" i="1"/>
  <c r="Z250" i="1"/>
  <c r="AA250" i="1"/>
  <c r="AE250" i="1" s="1"/>
  <c r="AF250" i="1" s="1"/>
  <c r="S267" i="1"/>
  <c r="S304" i="1"/>
  <c r="Z301" i="1"/>
  <c r="AA301" i="1"/>
  <c r="AE301" i="1" s="1"/>
  <c r="AF301" i="1" s="1"/>
  <c r="AK301" i="1"/>
  <c r="Z277" i="1"/>
  <c r="AA277" i="1"/>
  <c r="AE277" i="1" s="1"/>
  <c r="AF277" i="1" s="1"/>
  <c r="AK277" i="1"/>
  <c r="S232" i="1"/>
  <c r="Z9" i="1"/>
  <c r="AA9" i="1"/>
  <c r="AE9" i="1" s="1"/>
  <c r="AF9" i="1" s="1"/>
  <c r="AK9" i="1"/>
  <c r="Z14" i="1"/>
  <c r="AA14" i="1"/>
  <c r="AE14" i="1" s="1"/>
  <c r="AF14" i="1" s="1"/>
  <c r="AK14" i="1"/>
  <c r="Z18" i="1"/>
  <c r="AA18" i="1"/>
  <c r="AE18" i="1" s="1"/>
  <c r="AF18" i="1" s="1"/>
  <c r="AK18" i="1"/>
  <c r="Z42" i="1"/>
  <c r="AA42" i="1"/>
  <c r="AE42" i="1" s="1"/>
  <c r="AF42" i="1" s="1"/>
  <c r="AK42" i="1"/>
  <c r="Z66" i="1"/>
  <c r="AA66" i="1"/>
  <c r="AE66" i="1" s="1"/>
  <c r="AF66" i="1" s="1"/>
  <c r="AK66" i="1"/>
  <c r="Z104" i="1"/>
  <c r="AA104" i="1"/>
  <c r="AE104" i="1" s="1"/>
  <c r="AF104" i="1" s="1"/>
  <c r="AK104" i="1"/>
  <c r="S104" i="1"/>
  <c r="Z59" i="1"/>
  <c r="AA59" i="1"/>
  <c r="AE59" i="1" s="1"/>
  <c r="AF59" i="1" s="1"/>
  <c r="AK59" i="1"/>
  <c r="Z87" i="1"/>
  <c r="AA87" i="1"/>
  <c r="AE87" i="1" s="1"/>
  <c r="AF87" i="1" s="1"/>
  <c r="AK87" i="1"/>
  <c r="AA61" i="1"/>
  <c r="AE61" i="1" s="1"/>
  <c r="AF61" i="1" s="1"/>
  <c r="AK61" i="1"/>
  <c r="Z61" i="1"/>
  <c r="Z89" i="1"/>
  <c r="AA89" i="1"/>
  <c r="AE89" i="1" s="1"/>
  <c r="AF89" i="1" s="1"/>
  <c r="AK89" i="1"/>
  <c r="Z109" i="1"/>
  <c r="AK109" i="1"/>
  <c r="AA109" i="1"/>
  <c r="AE109" i="1" s="1"/>
  <c r="AF109" i="1" s="1"/>
  <c r="Z186" i="1"/>
  <c r="AA186" i="1"/>
  <c r="AE186" i="1" s="1"/>
  <c r="AF186" i="1" s="1"/>
  <c r="AK186" i="1"/>
  <c r="Z169" i="1"/>
  <c r="S169" i="1"/>
  <c r="AA169" i="1"/>
  <c r="AE169" i="1" s="1"/>
  <c r="AF169" i="1" s="1"/>
  <c r="AK169" i="1"/>
  <c r="Z191" i="1"/>
  <c r="AA191" i="1"/>
  <c r="AE191" i="1" s="1"/>
  <c r="AF191" i="1" s="1"/>
  <c r="AK191" i="1"/>
  <c r="AK260" i="1"/>
  <c r="Z260" i="1"/>
  <c r="AA260" i="1"/>
  <c r="AE260" i="1" s="1"/>
  <c r="AF260" i="1" s="1"/>
  <c r="AK276" i="1"/>
  <c r="AA276" i="1"/>
  <c r="AE276" i="1" s="1"/>
  <c r="AF276" i="1" s="1"/>
  <c r="Z276" i="1"/>
  <c r="Z288" i="1"/>
  <c r="AA288" i="1"/>
  <c r="AE288" i="1" s="1"/>
  <c r="AF288" i="1" s="1"/>
  <c r="Z267" i="1"/>
  <c r="AK267" i="1"/>
  <c r="AA267" i="1"/>
  <c r="AE267" i="1" s="1"/>
  <c r="AF267" i="1" s="1"/>
  <c r="AA160" i="1"/>
  <c r="AE160" i="1" s="1"/>
  <c r="AF160" i="1" s="1"/>
  <c r="Z160" i="1"/>
  <c r="AK160" i="1"/>
  <c r="AA294" i="1"/>
  <c r="AE294" i="1" s="1"/>
  <c r="AF294" i="1" s="1"/>
  <c r="AK294" i="1"/>
  <c r="Z294" i="1"/>
  <c r="AA200" i="1"/>
  <c r="AE200" i="1" s="1"/>
  <c r="AF200" i="1" s="1"/>
  <c r="AK200" i="1"/>
  <c r="Z200" i="1"/>
  <c r="S160" i="1"/>
  <c r="AA154" i="1"/>
  <c r="AE154" i="1" s="1"/>
  <c r="AF154" i="1" s="1"/>
  <c r="Z154" i="1"/>
  <c r="AK154" i="1"/>
  <c r="AA142" i="1"/>
  <c r="AE142" i="1" s="1"/>
  <c r="AF142" i="1" s="1"/>
  <c r="Z142" i="1"/>
  <c r="AK142" i="1"/>
  <c r="AK130" i="1"/>
  <c r="Z130" i="1"/>
  <c r="AA130" i="1"/>
  <c r="AE130" i="1" s="1"/>
  <c r="AF130" i="1" s="1"/>
  <c r="AK118" i="1"/>
  <c r="Z118" i="1"/>
  <c r="AA118" i="1"/>
  <c r="AE118" i="1" s="1"/>
  <c r="AF118" i="1" s="1"/>
  <c r="S134" i="1"/>
  <c r="AA55" i="1"/>
  <c r="AE55" i="1" s="1"/>
  <c r="AF55" i="1" s="1"/>
  <c r="Z55" i="1"/>
  <c r="AK55" i="1"/>
  <c r="Z175" i="1"/>
  <c r="S175" i="1"/>
  <c r="AA175" i="1"/>
  <c r="AE175" i="1" s="1"/>
  <c r="AF175" i="1" s="1"/>
  <c r="AK175" i="1"/>
  <c r="S200" i="1"/>
  <c r="Z212" i="1"/>
  <c r="AA212" i="1"/>
  <c r="AE212" i="1" s="1"/>
  <c r="AF212" i="1" s="1"/>
  <c r="AK212" i="1"/>
  <c r="Z220" i="1"/>
  <c r="AA220" i="1"/>
  <c r="AE220" i="1" s="1"/>
  <c r="AF220" i="1" s="1"/>
  <c r="AK220" i="1"/>
  <c r="S243" i="1"/>
  <c r="Z243" i="1"/>
  <c r="AA243" i="1"/>
  <c r="AE243" i="1" s="1"/>
  <c r="AF243" i="1" s="1"/>
  <c r="AK243" i="1"/>
  <c r="Z225" i="1"/>
  <c r="AA225" i="1"/>
  <c r="AE225" i="1" s="1"/>
  <c r="AF225" i="1" s="1"/>
  <c r="AK225" i="1"/>
  <c r="S240" i="1"/>
  <c r="Z240" i="1"/>
  <c r="AA240" i="1"/>
  <c r="AE240" i="1" s="1"/>
  <c r="AF240" i="1" s="1"/>
  <c r="AK240" i="1"/>
  <c r="S277" i="1"/>
  <c r="Z300" i="1"/>
  <c r="AK300" i="1"/>
  <c r="AA300" i="1"/>
  <c r="AE300" i="1" s="1"/>
  <c r="AF300" i="1" s="1"/>
  <c r="AA280" i="1"/>
  <c r="AE280" i="1" s="1"/>
  <c r="AF280" i="1" s="1"/>
  <c r="Z280" i="1"/>
  <c r="AK280" i="1"/>
  <c r="Z268" i="1"/>
  <c r="AK268" i="1"/>
  <c r="AA268" i="1"/>
  <c r="AE268" i="1" s="1"/>
  <c r="AF268" i="1" s="1"/>
  <c r="AA257" i="1"/>
  <c r="AE257" i="1" s="1"/>
  <c r="AF257" i="1" s="1"/>
  <c r="Z257" i="1"/>
  <c r="AK257" i="1"/>
  <c r="Z235" i="1"/>
  <c r="S235" i="1"/>
  <c r="AA235" i="1"/>
  <c r="AE235" i="1" s="1"/>
  <c r="AF235" i="1" s="1"/>
  <c r="AK197" i="1"/>
  <c r="AA197" i="1"/>
  <c r="AE197" i="1" s="1"/>
  <c r="AF197" i="1" s="1"/>
  <c r="Z197" i="1"/>
  <c r="Z148" i="1"/>
  <c r="AA148" i="1"/>
  <c r="AE148" i="1" s="1"/>
  <c r="AF148" i="1" s="1"/>
  <c r="AK148" i="1"/>
  <c r="AA150" i="1"/>
  <c r="AE150" i="1" s="1"/>
  <c r="AF150" i="1" s="1"/>
  <c r="Z150" i="1"/>
  <c r="AK150" i="1"/>
  <c r="S142" i="1"/>
  <c r="S130" i="1"/>
  <c r="Z7" i="1"/>
  <c r="S7" i="1"/>
  <c r="AA7" i="1"/>
  <c r="AE7" i="1" s="1"/>
  <c r="AF7" i="1" s="1"/>
  <c r="Z47" i="1"/>
  <c r="S47" i="1"/>
  <c r="AK47" i="1"/>
  <c r="AA47" i="1"/>
  <c r="AE47" i="1" s="1"/>
  <c r="AF47" i="1" s="1"/>
  <c r="Z96" i="1"/>
  <c r="AA96" i="1"/>
  <c r="AE96" i="1" s="1"/>
  <c r="AF96" i="1" s="1"/>
  <c r="AK96" i="1"/>
  <c r="Z32" i="1"/>
  <c r="S32" i="1"/>
  <c r="AK32" i="1"/>
  <c r="AA32" i="1"/>
  <c r="AE32" i="1" s="1"/>
  <c r="AF32" i="1" s="1"/>
  <c r="AA86" i="1"/>
  <c r="AE86" i="1" s="1"/>
  <c r="AF86" i="1" s="1"/>
  <c r="AK86" i="1"/>
  <c r="Z86" i="1"/>
  <c r="S9" i="1"/>
  <c r="Z16" i="1"/>
  <c r="AA16" i="1"/>
  <c r="AE16" i="1" s="1"/>
  <c r="AF16" i="1" s="1"/>
  <c r="AK16" i="1"/>
  <c r="AK20" i="1"/>
  <c r="AA20" i="1"/>
  <c r="AE20" i="1" s="1"/>
  <c r="AF20" i="1" s="1"/>
  <c r="Z20" i="1"/>
  <c r="Z44" i="1"/>
  <c r="AA44" i="1"/>
  <c r="AE44" i="1" s="1"/>
  <c r="AF44" i="1" s="1"/>
  <c r="AK44" i="1"/>
  <c r="AK48" i="1"/>
  <c r="AA48" i="1"/>
  <c r="AE48" i="1" s="1"/>
  <c r="AF48" i="1" s="1"/>
  <c r="Z48" i="1"/>
  <c r="AA75" i="1"/>
  <c r="AE75" i="1" s="1"/>
  <c r="AF75" i="1" s="1"/>
  <c r="AK75" i="1"/>
  <c r="Z75" i="1"/>
  <c r="Z65" i="1"/>
  <c r="AA65" i="1"/>
  <c r="AE65" i="1" s="1"/>
  <c r="AF65" i="1" s="1"/>
  <c r="AK65" i="1"/>
  <c r="Z93" i="1"/>
  <c r="AA93" i="1"/>
  <c r="AE93" i="1" s="1"/>
  <c r="AF93" i="1" s="1"/>
  <c r="AK93" i="1"/>
  <c r="Z110" i="1"/>
  <c r="AA110" i="1"/>
  <c r="AE110" i="1" s="1"/>
  <c r="AF110" i="1" s="1"/>
  <c r="AK110" i="1"/>
  <c r="Z182" i="1"/>
  <c r="AK182" i="1"/>
  <c r="AA182" i="1"/>
  <c r="AE182" i="1" s="1"/>
  <c r="AF182" i="1" s="1"/>
  <c r="Z224" i="1"/>
  <c r="AA224" i="1"/>
  <c r="AE224" i="1" s="1"/>
  <c r="AF224" i="1" s="1"/>
  <c r="AK224" i="1"/>
  <c r="S199" i="1"/>
  <c r="S218" i="1"/>
  <c r="S260" i="1"/>
  <c r="S280" i="1"/>
  <c r="Z292" i="1"/>
  <c r="AK292" i="1"/>
  <c r="AA292" i="1"/>
  <c r="AE292" i="1" s="1"/>
  <c r="AF292" i="1" s="1"/>
  <c r="Z192" i="1"/>
  <c r="S192" i="1"/>
  <c r="AA192" i="1"/>
  <c r="AE192" i="1" s="1"/>
  <c r="AF192" i="1" s="1"/>
  <c r="AK192" i="1"/>
  <c r="AA158" i="1"/>
  <c r="AE158" i="1" s="1"/>
  <c r="AF158" i="1" s="1"/>
  <c r="AK158" i="1"/>
  <c r="Z158" i="1"/>
  <c r="AA164" i="1"/>
  <c r="AE164" i="1" s="1"/>
  <c r="AF164" i="1" s="1"/>
  <c r="Z164" i="1"/>
  <c r="AK164" i="1"/>
  <c r="AA151" i="1"/>
  <c r="AE151" i="1" s="1"/>
  <c r="AF151" i="1" s="1"/>
  <c r="Z151" i="1"/>
  <c r="AK151" i="1"/>
  <c r="Z139" i="1"/>
  <c r="AK139" i="1"/>
  <c r="AA139" i="1"/>
  <c r="AE139" i="1" s="1"/>
  <c r="AF139" i="1" s="1"/>
  <c r="AA127" i="1"/>
  <c r="AE127" i="1" s="1"/>
  <c r="AF127" i="1" s="1"/>
  <c r="Z127" i="1"/>
  <c r="AK127" i="1"/>
  <c r="AA135" i="1"/>
  <c r="AE135" i="1" s="1"/>
  <c r="AF135" i="1" s="1"/>
  <c r="Z135" i="1"/>
  <c r="AK135" i="1"/>
  <c r="S125" i="1"/>
  <c r="Z33" i="1"/>
  <c r="S33" i="1"/>
  <c r="AA33" i="1"/>
  <c r="AE33" i="1" s="1"/>
  <c r="AF33" i="1" s="1"/>
  <c r="AK33" i="1"/>
  <c r="Z49" i="1"/>
  <c r="S49" i="1"/>
  <c r="AA49" i="1"/>
  <c r="AE49" i="1" s="1"/>
  <c r="AF49" i="1" s="1"/>
  <c r="Z78" i="1"/>
  <c r="AA78" i="1"/>
  <c r="AE78" i="1" s="1"/>
  <c r="AF78" i="1" s="1"/>
  <c r="AK78" i="1"/>
  <c r="Z167" i="1"/>
  <c r="AA167" i="1"/>
  <c r="AE167" i="1" s="1"/>
  <c r="AF167" i="1" s="1"/>
  <c r="AK167" i="1"/>
  <c r="S167" i="1"/>
  <c r="Z188" i="1"/>
  <c r="AA188" i="1"/>
  <c r="AE188" i="1" s="1"/>
  <c r="AF188" i="1" s="1"/>
  <c r="AK188" i="1"/>
  <c r="AA247" i="1"/>
  <c r="AE247" i="1" s="1"/>
  <c r="AF247" i="1" s="1"/>
  <c r="Z247" i="1"/>
  <c r="AK247" i="1"/>
  <c r="AK234" i="1"/>
  <c r="AA234" i="1"/>
  <c r="AE234" i="1" s="1"/>
  <c r="AF234" i="1" s="1"/>
  <c r="Z234" i="1"/>
  <c r="Z246" i="1"/>
  <c r="S246" i="1"/>
  <c r="AK246" i="1"/>
  <c r="AA246" i="1"/>
  <c r="AE246" i="1" s="1"/>
  <c r="AF246" i="1" s="1"/>
  <c r="AK249" i="1"/>
  <c r="Z249" i="1"/>
  <c r="AA249" i="1"/>
  <c r="AE249" i="1" s="1"/>
  <c r="AF249" i="1" s="1"/>
  <c r="AK209" i="1"/>
  <c r="AA209" i="1"/>
  <c r="AE209" i="1" s="1"/>
  <c r="AF209" i="1" s="1"/>
  <c r="Z209" i="1"/>
  <c r="AK266" i="1"/>
  <c r="Z266" i="1"/>
  <c r="AA266" i="1"/>
  <c r="AE266" i="1" s="1"/>
  <c r="AF266" i="1" s="1"/>
  <c r="AA287" i="1"/>
  <c r="AE287" i="1" s="1"/>
  <c r="AF287" i="1" s="1"/>
  <c r="Z287" i="1"/>
  <c r="AK287" i="1"/>
  <c r="Z299" i="1"/>
  <c r="AK299" i="1"/>
  <c r="AA299" i="1"/>
  <c r="AE299" i="1" s="1"/>
  <c r="AF299" i="1" s="1"/>
  <c r="AB68" i="1" l="1"/>
  <c r="AC68" i="1" s="1"/>
  <c r="AD68" i="1" s="1"/>
  <c r="AG68" i="1" s="1"/>
  <c r="AB162" i="1"/>
  <c r="AC162" i="1" s="1"/>
  <c r="AD162" i="1" s="1"/>
  <c r="AG162" i="1" s="1"/>
  <c r="AH86" i="1"/>
  <c r="AH179" i="1"/>
  <c r="AH240" i="1"/>
  <c r="AH61" i="1"/>
  <c r="AH66" i="1"/>
  <c r="AH63" i="1"/>
  <c r="AH293" i="1"/>
  <c r="AH233" i="1"/>
  <c r="AI233" i="1" s="1"/>
  <c r="AM233" i="1" s="1"/>
  <c r="AH184" i="1"/>
  <c r="AH215" i="1"/>
  <c r="AH43" i="1"/>
  <c r="AH19" i="1"/>
  <c r="AH204" i="1"/>
  <c r="AH190" i="1"/>
  <c r="AH84" i="1"/>
  <c r="AH249" i="1"/>
  <c r="AI249" i="1" s="1"/>
  <c r="AM249" i="1" s="1"/>
  <c r="AH33" i="1"/>
  <c r="AH302" i="1"/>
  <c r="AH67" i="1"/>
  <c r="AH266" i="1"/>
  <c r="AH250" i="1"/>
  <c r="AH88" i="1"/>
  <c r="AH292" i="1"/>
  <c r="AH96" i="1"/>
  <c r="AI96" i="1" s="1"/>
  <c r="AM96" i="1" s="1"/>
  <c r="AH186" i="1"/>
  <c r="AH105" i="1"/>
  <c r="AH81" i="1"/>
  <c r="AH297" i="1"/>
  <c r="AH45" i="1"/>
  <c r="AH155" i="1"/>
  <c r="AH176" i="1"/>
  <c r="AH198" i="1"/>
  <c r="AI198" i="1" s="1"/>
  <c r="AM198" i="1" s="1"/>
  <c r="AH271" i="1"/>
  <c r="AH296" i="1"/>
  <c r="AH304" i="1"/>
  <c r="AH232" i="1"/>
  <c r="AH214" i="1"/>
  <c r="AH85" i="1"/>
  <c r="AH182" i="1"/>
  <c r="AH65" i="1"/>
  <c r="AI65" i="1" s="1"/>
  <c r="AM65" i="1" s="1"/>
  <c r="AH121" i="1"/>
  <c r="AH181" i="1"/>
  <c r="AH52" i="1"/>
  <c r="AH174" i="1"/>
  <c r="AH279" i="1"/>
  <c r="AH219" i="1"/>
  <c r="AH221" i="1"/>
  <c r="AH251" i="1"/>
  <c r="AH29" i="1"/>
  <c r="AH194" i="1"/>
  <c r="AH114" i="1"/>
  <c r="AH102" i="1"/>
  <c r="AH298" i="1"/>
  <c r="AH168" i="1"/>
  <c r="AH239" i="1"/>
  <c r="AH236" i="1"/>
  <c r="AI236" i="1" s="1"/>
  <c r="AM236" i="1" s="1"/>
  <c r="AH207" i="1"/>
  <c r="AH156" i="1"/>
  <c r="AH161" i="1"/>
  <c r="AH237" i="1"/>
  <c r="AH203" i="1"/>
  <c r="AH71" i="1"/>
  <c r="AH100" i="1"/>
  <c r="AH247" i="1"/>
  <c r="AI247" i="1" s="1"/>
  <c r="AM247" i="1" s="1"/>
  <c r="AH139" i="1"/>
  <c r="AH110" i="1"/>
  <c r="AH16" i="1"/>
  <c r="AH47" i="1"/>
  <c r="AH257" i="1"/>
  <c r="AH243" i="1"/>
  <c r="AH212" i="1"/>
  <c r="AH142" i="1"/>
  <c r="AI142" i="1" s="1"/>
  <c r="AM142" i="1" s="1"/>
  <c r="AH109" i="1"/>
  <c r="AH253" i="1"/>
  <c r="AH140" i="1"/>
  <c r="AH144" i="1"/>
  <c r="AH147" i="1"/>
  <c r="AH50" i="1"/>
  <c r="AH39" i="1"/>
  <c r="AH195" i="1"/>
  <c r="AI195" i="1" s="1"/>
  <c r="AM195" i="1" s="1"/>
  <c r="AH44" i="1"/>
  <c r="AH264" i="1"/>
  <c r="AH208" i="1"/>
  <c r="AH196" i="1"/>
  <c r="AH28" i="1"/>
  <c r="AH299" i="1"/>
  <c r="AH192" i="1"/>
  <c r="AH300" i="1"/>
  <c r="AH256" i="1"/>
  <c r="AH159" i="1"/>
  <c r="AH290" i="1"/>
  <c r="AH244" i="1"/>
  <c r="AH262" i="1"/>
  <c r="AH95" i="1"/>
  <c r="AH261" i="1"/>
  <c r="AH303" i="1"/>
  <c r="AH211" i="1"/>
  <c r="AH189" i="1"/>
  <c r="AH116" i="1"/>
  <c r="AH8" i="1"/>
  <c r="AH284" i="1"/>
  <c r="AH229" i="1"/>
  <c r="AH242" i="1"/>
  <c r="AH180" i="1"/>
  <c r="AI180" i="1" s="1"/>
  <c r="AM180" i="1" s="1"/>
  <c r="AH15" i="1"/>
  <c r="AH122" i="1"/>
  <c r="AH199" i="1"/>
  <c r="AH98" i="1"/>
  <c r="AH21" i="1"/>
  <c r="AH172" i="1"/>
  <c r="AH7" i="1"/>
  <c r="AH148" i="1"/>
  <c r="AI148" i="1" s="1"/>
  <c r="AM148" i="1" s="1"/>
  <c r="AH225" i="1"/>
  <c r="AH260" i="1"/>
  <c r="AH42" i="1"/>
  <c r="AH37" i="1"/>
  <c r="AH137" i="1"/>
  <c r="AH275" i="1"/>
  <c r="AH278" i="1"/>
  <c r="AH157" i="1"/>
  <c r="AH11" i="1"/>
  <c r="AH265" i="1"/>
  <c r="AH177" i="1"/>
  <c r="AH60" i="1"/>
  <c r="AH141" i="1"/>
  <c r="AH162" i="1"/>
  <c r="AH295" i="1"/>
  <c r="AH227" i="1"/>
  <c r="AI227" i="1" s="1"/>
  <c r="AM227" i="1" s="1"/>
  <c r="AH183" i="1"/>
  <c r="AH108" i="1"/>
  <c r="AH82" i="1"/>
  <c r="AH202" i="1"/>
  <c r="AH270" i="1"/>
  <c r="AH306" i="1"/>
  <c r="AH187" i="1"/>
  <c r="AH178" i="1"/>
  <c r="AI178" i="1" s="1"/>
  <c r="AM178" i="1" s="1"/>
  <c r="AH68" i="1"/>
  <c r="AH62" i="1"/>
  <c r="AH53" i="1"/>
  <c r="AH246" i="1"/>
  <c r="AH191" i="1"/>
  <c r="AH259" i="1"/>
  <c r="AB92" i="1"/>
  <c r="AC92" i="1" s="1"/>
  <c r="AD92" i="1" s="1"/>
  <c r="AG92" i="1" s="1"/>
  <c r="AH209" i="1"/>
  <c r="AI209" i="1" s="1"/>
  <c r="AM209" i="1" s="1"/>
  <c r="AH234" i="1"/>
  <c r="AH224" i="1"/>
  <c r="AH93" i="1"/>
  <c r="AH75" i="1"/>
  <c r="AH280" i="1"/>
  <c r="AH118" i="1"/>
  <c r="AH200" i="1"/>
  <c r="AH9" i="1"/>
  <c r="AH136" i="1"/>
  <c r="AH111" i="1"/>
  <c r="AH301" i="1"/>
  <c r="AH254" i="1"/>
  <c r="AH248" i="1"/>
  <c r="AH76" i="1"/>
  <c r="AH119" i="1"/>
  <c r="AH131" i="1"/>
  <c r="AI131" i="1" s="1"/>
  <c r="AM131" i="1" s="1"/>
  <c r="AH206" i="1"/>
  <c r="AH126" i="1"/>
  <c r="AH69" i="1"/>
  <c r="AH79" i="1"/>
  <c r="AH64" i="1"/>
  <c r="AH74" i="1"/>
  <c r="AH31" i="1"/>
  <c r="AH165" i="1"/>
  <c r="AI165" i="1" s="1"/>
  <c r="AM165" i="1" s="1"/>
  <c r="AH218" i="1"/>
  <c r="AH146" i="1"/>
  <c r="AH138" i="1"/>
  <c r="AH272" i="1"/>
  <c r="AH125" i="1"/>
  <c r="AH113" i="1"/>
  <c r="AH34" i="1"/>
  <c r="AH54" i="1"/>
  <c r="AI54" i="1" s="1"/>
  <c r="AM54" i="1" s="1"/>
  <c r="AH78" i="1"/>
  <c r="AH20" i="1"/>
  <c r="AH197" i="1"/>
  <c r="AH175" i="1"/>
  <c r="AH59" i="1"/>
  <c r="AH171" i="1"/>
  <c r="AH112" i="1"/>
  <c r="AH27" i="1"/>
  <c r="AI27" i="1" s="1"/>
  <c r="AM27" i="1" s="1"/>
  <c r="AH128" i="1"/>
  <c r="AH123" i="1"/>
  <c r="AH90" i="1"/>
  <c r="AH46" i="1"/>
  <c r="AH41" i="1"/>
  <c r="AH305" i="1"/>
  <c r="AH289" i="1"/>
  <c r="AH230" i="1"/>
  <c r="AI230" i="1" s="1"/>
  <c r="AM230" i="1" s="1"/>
  <c r="AH94" i="1"/>
  <c r="AH129" i="1"/>
  <c r="AH153" i="1"/>
  <c r="AH115" i="1"/>
  <c r="AH40" i="1"/>
  <c r="AH92" i="1"/>
  <c r="AH58" i="1"/>
  <c r="AH35" i="1"/>
  <c r="AI35" i="1" s="1"/>
  <c r="AM35" i="1" s="1"/>
  <c r="AH201" i="1"/>
  <c r="AH217" i="1"/>
  <c r="AH51" i="1"/>
  <c r="AH205" i="1"/>
  <c r="AH291" i="1"/>
  <c r="AH107" i="1"/>
  <c r="AH73" i="1"/>
  <c r="AH10" i="1"/>
  <c r="AI10" i="1" s="1"/>
  <c r="AM10" i="1" s="1"/>
  <c r="AH25" i="1"/>
  <c r="AH49" i="1"/>
  <c r="AH150" i="1"/>
  <c r="AH55" i="1"/>
  <c r="AH267" i="1"/>
  <c r="AH18" i="1"/>
  <c r="AH17" i="1"/>
  <c r="AH166" i="1"/>
  <c r="AI166" i="1" s="1"/>
  <c r="AM166" i="1" s="1"/>
  <c r="AH170" i="1"/>
  <c r="AH222" i="1"/>
  <c r="AH36" i="1"/>
  <c r="AH269" i="1"/>
  <c r="AH213" i="1"/>
  <c r="AH287" i="1"/>
  <c r="AH135" i="1"/>
  <c r="AH164" i="1"/>
  <c r="AI164" i="1" s="1"/>
  <c r="AM164" i="1" s="1"/>
  <c r="AH235" i="1"/>
  <c r="AI235" i="1" s="1"/>
  <c r="AM235" i="1" s="1"/>
  <c r="AH220" i="1"/>
  <c r="AH154" i="1"/>
  <c r="AH160" i="1"/>
  <c r="AH276" i="1"/>
  <c r="AH104" i="1"/>
  <c r="AH14" i="1"/>
  <c r="AH72" i="1"/>
  <c r="AI72" i="1" s="1"/>
  <c r="AM72" i="1" s="1"/>
  <c r="AH145" i="1"/>
  <c r="AH274" i="1"/>
  <c r="AH263" i="1"/>
  <c r="AH70" i="1"/>
  <c r="AH80" i="1"/>
  <c r="AH152" i="1"/>
  <c r="AH216" i="1"/>
  <c r="AH223" i="1"/>
  <c r="AI223" i="1" s="1"/>
  <c r="AM223" i="1" s="1"/>
  <c r="AH231" i="1"/>
  <c r="AH30" i="1"/>
  <c r="AH22" i="1"/>
  <c r="AH103" i="1"/>
  <c r="AH143" i="1"/>
  <c r="AH149" i="1"/>
  <c r="AH238" i="1"/>
  <c r="AH56" i="1"/>
  <c r="AI56" i="1" s="1"/>
  <c r="AM56" i="1" s="1"/>
  <c r="AH106" i="1"/>
  <c r="AH163" i="1"/>
  <c r="AH281" i="1"/>
  <c r="AH101" i="1"/>
  <c r="AH134" i="1"/>
  <c r="AH210" i="1"/>
  <c r="AH83" i="1"/>
  <c r="AH26" i="1"/>
  <c r="AH57" i="1"/>
  <c r="AH188" i="1"/>
  <c r="AH127" i="1"/>
  <c r="AH151" i="1"/>
  <c r="AH32" i="1"/>
  <c r="AH268" i="1"/>
  <c r="AH130" i="1"/>
  <c r="AH294" i="1"/>
  <c r="AI294" i="1" s="1"/>
  <c r="AM294" i="1" s="1"/>
  <c r="AH288" i="1"/>
  <c r="AH169" i="1"/>
  <c r="AH89" i="1"/>
  <c r="AH282" i="1"/>
  <c r="AH226" i="1"/>
  <c r="AH91" i="1"/>
  <c r="AH228" i="1"/>
  <c r="AH258" i="1"/>
  <c r="AI258" i="1" s="1"/>
  <c r="AM258" i="1" s="1"/>
  <c r="AH99" i="1"/>
  <c r="AH173" i="1"/>
  <c r="AH97" i="1"/>
  <c r="AH117" i="1"/>
  <c r="AH273" i="1"/>
  <c r="AH283" i="1"/>
  <c r="AH245" i="1"/>
  <c r="AH12" i="1"/>
  <c r="AI12" i="1" s="1"/>
  <c r="AM12" i="1" s="1"/>
  <c r="AH252" i="1"/>
  <c r="AH241" i="1"/>
  <c r="AH193" i="1"/>
  <c r="AH23" i="1"/>
  <c r="AH120" i="1"/>
  <c r="AH132" i="1"/>
  <c r="AH255" i="1"/>
  <c r="AH185" i="1"/>
  <c r="AI185" i="1" s="1"/>
  <c r="AM185" i="1" s="1"/>
  <c r="AH38" i="1"/>
  <c r="AH285" i="1"/>
  <c r="AH167" i="1"/>
  <c r="AI167" i="1" s="1"/>
  <c r="AM167" i="1" s="1"/>
  <c r="AH158" i="1"/>
  <c r="AH48" i="1"/>
  <c r="AH87" i="1"/>
  <c r="AH277" i="1"/>
  <c r="AH133" i="1"/>
  <c r="AI133" i="1" s="1"/>
  <c r="AM133" i="1" s="1"/>
  <c r="AH124" i="1"/>
  <c r="AH286" i="1"/>
  <c r="AH77" i="1"/>
  <c r="AH13" i="1"/>
  <c r="AH24" i="1"/>
  <c r="AI24" i="1" s="1"/>
  <c r="AM24" i="1" s="1"/>
  <c r="AB53" i="1"/>
  <c r="AC53" i="1" s="1"/>
  <c r="AD53" i="1" s="1"/>
  <c r="AG53" i="1" s="1"/>
  <c r="AB199" i="1"/>
  <c r="AC199" i="1" s="1"/>
  <c r="AD199" i="1" s="1"/>
  <c r="AG199" i="1" s="1"/>
  <c r="AB144" i="1"/>
  <c r="AC144" i="1" s="1"/>
  <c r="AD144" i="1" s="1"/>
  <c r="AG144" i="1" s="1"/>
  <c r="AB10" i="1"/>
  <c r="AC10" i="1" s="1"/>
  <c r="AD10" i="1" s="1"/>
  <c r="AG10" i="1" s="1"/>
  <c r="AB232" i="1"/>
  <c r="AC232" i="1" s="1"/>
  <c r="AD232" i="1" s="1"/>
  <c r="AB178" i="1"/>
  <c r="AC178" i="1" s="1"/>
  <c r="AD178" i="1" s="1"/>
  <c r="AG178" i="1" s="1"/>
  <c r="AB187" i="1"/>
  <c r="AC187" i="1" s="1"/>
  <c r="AD187" i="1" s="1"/>
  <c r="AG187" i="1" s="1"/>
  <c r="AB11" i="1"/>
  <c r="AC11" i="1" s="1"/>
  <c r="AD11" i="1" s="1"/>
  <c r="AG11" i="1" s="1"/>
  <c r="AB28" i="1"/>
  <c r="AC28" i="1" s="1"/>
  <c r="AD28" i="1" s="1"/>
  <c r="AG28" i="1" s="1"/>
  <c r="AB202" i="1"/>
  <c r="AC202" i="1" s="1"/>
  <c r="AD202" i="1" s="1"/>
  <c r="AG202" i="1" s="1"/>
  <c r="AB80" i="1"/>
  <c r="AC80" i="1" s="1"/>
  <c r="AD80" i="1" s="1"/>
  <c r="AG80" i="1" s="1"/>
  <c r="AB39" i="1"/>
  <c r="AC39" i="1" s="1"/>
  <c r="AD39" i="1" s="1"/>
  <c r="AG39" i="1" s="1"/>
  <c r="AG232" i="1"/>
  <c r="AB128" i="1"/>
  <c r="AC128" i="1" s="1"/>
  <c r="AD128" i="1" s="1"/>
  <c r="AG128" i="1" s="1"/>
  <c r="AB279" i="1"/>
  <c r="AC279" i="1" s="1"/>
  <c r="AD279" i="1" s="1"/>
  <c r="AG279" i="1" s="1"/>
  <c r="AB219" i="1"/>
  <c r="AC219" i="1" s="1"/>
  <c r="AD219" i="1" s="1"/>
  <c r="AG219" i="1" s="1"/>
  <c r="AB306" i="1"/>
  <c r="AC306" i="1" s="1"/>
  <c r="AD306" i="1" s="1"/>
  <c r="AG306" i="1" s="1"/>
  <c r="AB124" i="1"/>
  <c r="AC124" i="1" s="1"/>
  <c r="AD124" i="1" s="1"/>
  <c r="AG124" i="1" s="1"/>
  <c r="AB166" i="1"/>
  <c r="AC166" i="1" s="1"/>
  <c r="AD166" i="1" s="1"/>
  <c r="AG166" i="1" s="1"/>
  <c r="AB119" i="1"/>
  <c r="AC119" i="1" s="1"/>
  <c r="AD119" i="1" s="1"/>
  <c r="AG119" i="1" s="1"/>
  <c r="AB198" i="1"/>
  <c r="AC198" i="1" s="1"/>
  <c r="AD198" i="1" s="1"/>
  <c r="AG198" i="1" s="1"/>
  <c r="AB138" i="1"/>
  <c r="AC138" i="1" s="1"/>
  <c r="AD138" i="1" s="1"/>
  <c r="AG138" i="1" s="1"/>
  <c r="AB272" i="1"/>
  <c r="AC272" i="1" s="1"/>
  <c r="AD272" i="1" s="1"/>
  <c r="AG272" i="1" s="1"/>
  <c r="AB173" i="1"/>
  <c r="AC173" i="1" s="1"/>
  <c r="AD173" i="1" s="1"/>
  <c r="AG173" i="1" s="1"/>
  <c r="AB273" i="1"/>
  <c r="AC273" i="1" s="1"/>
  <c r="AD273" i="1" s="1"/>
  <c r="AG273" i="1" s="1"/>
  <c r="AB179" i="1"/>
  <c r="AC179" i="1" s="1"/>
  <c r="AD179" i="1" s="1"/>
  <c r="AG179" i="1" s="1"/>
  <c r="AB280" i="1"/>
  <c r="AC280" i="1" s="1"/>
  <c r="AD280" i="1" s="1"/>
  <c r="AG280" i="1" s="1"/>
  <c r="AB303" i="1"/>
  <c r="AC303" i="1" s="1"/>
  <c r="AD303" i="1" s="1"/>
  <c r="AG303" i="1" s="1"/>
  <c r="AB31" i="1"/>
  <c r="AC31" i="1" s="1"/>
  <c r="AD31" i="1" s="1"/>
  <c r="AG31" i="1" s="1"/>
  <c r="AB134" i="1"/>
  <c r="AC134" i="1" s="1"/>
  <c r="AD134" i="1" s="1"/>
  <c r="AG134" i="1" s="1"/>
  <c r="AB21" i="1"/>
  <c r="AC21" i="1" s="1"/>
  <c r="AD21" i="1" s="1"/>
  <c r="AG21" i="1" s="1"/>
  <c r="AB251" i="1"/>
  <c r="AC251" i="1" s="1"/>
  <c r="AD251" i="1" s="1"/>
  <c r="AG251" i="1" s="1"/>
  <c r="AB97" i="1"/>
  <c r="AC97" i="1" s="1"/>
  <c r="AD97" i="1" s="1"/>
  <c r="AG97" i="1" s="1"/>
  <c r="AB153" i="1"/>
  <c r="AC153" i="1" s="1"/>
  <c r="AD153" i="1" s="1"/>
  <c r="AG153" i="1" s="1"/>
  <c r="AB283" i="1"/>
  <c r="AC283" i="1" s="1"/>
  <c r="AD283" i="1" s="1"/>
  <c r="AG283" i="1" s="1"/>
  <c r="AB245" i="1"/>
  <c r="AC245" i="1" s="1"/>
  <c r="AD245" i="1" s="1"/>
  <c r="AG245" i="1" s="1"/>
  <c r="AB217" i="1"/>
  <c r="AC217" i="1" s="1"/>
  <c r="AD217" i="1" s="1"/>
  <c r="AG217" i="1" s="1"/>
  <c r="AB239" i="1"/>
  <c r="AC239" i="1" s="1"/>
  <c r="AD239" i="1" s="1"/>
  <c r="AG239" i="1" s="1"/>
  <c r="AB207" i="1"/>
  <c r="AC207" i="1" s="1"/>
  <c r="AD207" i="1" s="1"/>
  <c r="AG207" i="1" s="1"/>
  <c r="AB205" i="1"/>
  <c r="AC205" i="1" s="1"/>
  <c r="AD205" i="1" s="1"/>
  <c r="AG205" i="1" s="1"/>
  <c r="AB25" i="1"/>
  <c r="AC25" i="1" s="1"/>
  <c r="AD25" i="1" s="1"/>
  <c r="AG25" i="1" s="1"/>
  <c r="AB287" i="1"/>
  <c r="AC287" i="1" s="1"/>
  <c r="AD287" i="1" s="1"/>
  <c r="AG287" i="1" s="1"/>
  <c r="AB44" i="1"/>
  <c r="AC44" i="1" s="1"/>
  <c r="AD44" i="1" s="1"/>
  <c r="AG44" i="1" s="1"/>
  <c r="AB148" i="1"/>
  <c r="AC148" i="1" s="1"/>
  <c r="AD148" i="1" s="1"/>
  <c r="AG148" i="1" s="1"/>
  <c r="AB181" i="1"/>
  <c r="AC181" i="1" s="1"/>
  <c r="AD181" i="1" s="1"/>
  <c r="AG181" i="1" s="1"/>
  <c r="AB228" i="1"/>
  <c r="AC228" i="1" s="1"/>
  <c r="AD228" i="1" s="1"/>
  <c r="AG228" i="1" s="1"/>
  <c r="AB85" i="1"/>
  <c r="AC85" i="1" s="1"/>
  <c r="AD85" i="1" s="1"/>
  <c r="AG85" i="1" s="1"/>
  <c r="AB221" i="1"/>
  <c r="AC221" i="1" s="1"/>
  <c r="AD221" i="1" s="1"/>
  <c r="AG221" i="1" s="1"/>
  <c r="AB265" i="1"/>
  <c r="AC265" i="1" s="1"/>
  <c r="AD265" i="1" s="1"/>
  <c r="AG265" i="1" s="1"/>
  <c r="AB60" i="1"/>
  <c r="AC60" i="1" s="1"/>
  <c r="AD60" i="1" s="1"/>
  <c r="AG60" i="1" s="1"/>
  <c r="AB117" i="1"/>
  <c r="AC117" i="1" s="1"/>
  <c r="AD117" i="1" s="1"/>
  <c r="AG117" i="1" s="1"/>
  <c r="AB236" i="1"/>
  <c r="AC236" i="1" s="1"/>
  <c r="AD236" i="1" s="1"/>
  <c r="AG236" i="1" s="1"/>
  <c r="AB107" i="1"/>
  <c r="AC107" i="1" s="1"/>
  <c r="AD107" i="1" s="1"/>
  <c r="AG107" i="1" s="1"/>
  <c r="AB299" i="1"/>
  <c r="AC299" i="1" s="1"/>
  <c r="AD299" i="1" s="1"/>
  <c r="AG299" i="1" s="1"/>
  <c r="AB246" i="1"/>
  <c r="AC246" i="1" s="1"/>
  <c r="AD246" i="1" s="1"/>
  <c r="AG246" i="1" s="1"/>
  <c r="AB234" i="1"/>
  <c r="AC234" i="1" s="1"/>
  <c r="AD234" i="1" s="1"/>
  <c r="AG234" i="1" s="1"/>
  <c r="AB151" i="1"/>
  <c r="AC151" i="1" s="1"/>
  <c r="AD151" i="1" s="1"/>
  <c r="AG151" i="1" s="1"/>
  <c r="AB164" i="1"/>
  <c r="AC164" i="1" s="1"/>
  <c r="AD164" i="1" s="1"/>
  <c r="AG164" i="1" s="1"/>
  <c r="AB16" i="1"/>
  <c r="AC16" i="1" s="1"/>
  <c r="AD16" i="1" s="1"/>
  <c r="AG16" i="1" s="1"/>
  <c r="AB200" i="1"/>
  <c r="AC200" i="1" s="1"/>
  <c r="AD200" i="1" s="1"/>
  <c r="AG200" i="1" s="1"/>
  <c r="AB109" i="1"/>
  <c r="AC109" i="1" s="1"/>
  <c r="AD109" i="1" s="1"/>
  <c r="AG109" i="1" s="1"/>
  <c r="AB112" i="1"/>
  <c r="AC112" i="1" s="1"/>
  <c r="AD112" i="1" s="1"/>
  <c r="AG112" i="1" s="1"/>
  <c r="AB233" i="1"/>
  <c r="AC233" i="1" s="1"/>
  <c r="AD233" i="1" s="1"/>
  <c r="AG233" i="1" s="1"/>
  <c r="AB155" i="1"/>
  <c r="AC155" i="1" s="1"/>
  <c r="AD155" i="1" s="1"/>
  <c r="AG155" i="1" s="1"/>
  <c r="AB116" i="1"/>
  <c r="AC116" i="1" s="1"/>
  <c r="AD116" i="1" s="1"/>
  <c r="AG116" i="1" s="1"/>
  <c r="AB146" i="1"/>
  <c r="AC146" i="1" s="1"/>
  <c r="AD146" i="1" s="1"/>
  <c r="AG146" i="1" s="1"/>
  <c r="AB208" i="1"/>
  <c r="AC208" i="1" s="1"/>
  <c r="AD208" i="1" s="1"/>
  <c r="AG208" i="1" s="1"/>
  <c r="AB98" i="1"/>
  <c r="AC98" i="1" s="1"/>
  <c r="AD98" i="1" s="1"/>
  <c r="AG98" i="1" s="1"/>
  <c r="AB230" i="1"/>
  <c r="AC230" i="1" s="1"/>
  <c r="AD230" i="1" s="1"/>
  <c r="AG230" i="1" s="1"/>
  <c r="AB141" i="1"/>
  <c r="AC141" i="1" s="1"/>
  <c r="AD141" i="1" s="1"/>
  <c r="AG141" i="1" s="1"/>
  <c r="AB193" i="1"/>
  <c r="AC193" i="1" s="1"/>
  <c r="AD193" i="1" s="1"/>
  <c r="AG193" i="1" s="1"/>
  <c r="AB222" i="1"/>
  <c r="AC222" i="1" s="1"/>
  <c r="AD222" i="1" s="1"/>
  <c r="AG222" i="1" s="1"/>
  <c r="AB114" i="1"/>
  <c r="AC114" i="1" s="1"/>
  <c r="AD114" i="1" s="1"/>
  <c r="AG114" i="1" s="1"/>
  <c r="AB12" i="1"/>
  <c r="AC12" i="1" s="1"/>
  <c r="AD12" i="1" s="1"/>
  <c r="AG12" i="1" s="1"/>
  <c r="AB82" i="1"/>
  <c r="AC82" i="1" s="1"/>
  <c r="AD82" i="1" s="1"/>
  <c r="AG82" i="1" s="1"/>
  <c r="AB58" i="1"/>
  <c r="AC58" i="1" s="1"/>
  <c r="AD58" i="1" s="1"/>
  <c r="AG58" i="1" s="1"/>
  <c r="AB201" i="1"/>
  <c r="AC201" i="1" s="1"/>
  <c r="AD201" i="1" s="1"/>
  <c r="AG201" i="1" s="1"/>
  <c r="AB252" i="1"/>
  <c r="AC252" i="1" s="1"/>
  <c r="AD252" i="1" s="1"/>
  <c r="AG252" i="1" s="1"/>
  <c r="AB195" i="1"/>
  <c r="AC195" i="1" s="1"/>
  <c r="AD195" i="1" s="1"/>
  <c r="AG195" i="1" s="1"/>
  <c r="AB95" i="1"/>
  <c r="AC95" i="1" s="1"/>
  <c r="AD95" i="1" s="1"/>
  <c r="AG95" i="1" s="1"/>
  <c r="AB229" i="1"/>
  <c r="AC229" i="1" s="1"/>
  <c r="AD229" i="1" s="1"/>
  <c r="AG229" i="1" s="1"/>
  <c r="AB281" i="1"/>
  <c r="AC281" i="1" s="1"/>
  <c r="AD281" i="1" s="1"/>
  <c r="AG281" i="1" s="1"/>
  <c r="AB210" i="1"/>
  <c r="AC210" i="1" s="1"/>
  <c r="AD210" i="1" s="1"/>
  <c r="AG210" i="1" s="1"/>
  <c r="AB135" i="1"/>
  <c r="AC135" i="1" s="1"/>
  <c r="AD135" i="1" s="1"/>
  <c r="AG135" i="1" s="1"/>
  <c r="AB86" i="1"/>
  <c r="AC86" i="1" s="1"/>
  <c r="AD86" i="1" s="1"/>
  <c r="AG86" i="1" s="1"/>
  <c r="AB150" i="1"/>
  <c r="AC150" i="1" s="1"/>
  <c r="AD150" i="1" s="1"/>
  <c r="AG150" i="1" s="1"/>
  <c r="AB118" i="1"/>
  <c r="AC118" i="1" s="1"/>
  <c r="AD118" i="1" s="1"/>
  <c r="AG118" i="1" s="1"/>
  <c r="AB154" i="1"/>
  <c r="AC154" i="1" s="1"/>
  <c r="AD154" i="1" s="1"/>
  <c r="AG154" i="1" s="1"/>
  <c r="AB267" i="1"/>
  <c r="AC267" i="1" s="1"/>
  <c r="AD267" i="1" s="1"/>
  <c r="AG267" i="1" s="1"/>
  <c r="AB253" i="1"/>
  <c r="AC253" i="1" s="1"/>
  <c r="AD253" i="1" s="1"/>
  <c r="AG253" i="1" s="1"/>
  <c r="AB264" i="1"/>
  <c r="AC264" i="1" s="1"/>
  <c r="AD264" i="1" s="1"/>
  <c r="AG264" i="1" s="1"/>
  <c r="AB145" i="1"/>
  <c r="AC145" i="1" s="1"/>
  <c r="AD145" i="1" s="1"/>
  <c r="AG145" i="1" s="1"/>
  <c r="AB63" i="1"/>
  <c r="AC63" i="1" s="1"/>
  <c r="AD63" i="1" s="1"/>
  <c r="AG63" i="1" s="1"/>
  <c r="AB36" i="1"/>
  <c r="AC36" i="1" s="1"/>
  <c r="AD36" i="1" s="1"/>
  <c r="AG36" i="1" s="1"/>
  <c r="AB136" i="1"/>
  <c r="AC136" i="1" s="1"/>
  <c r="AD136" i="1" s="1"/>
  <c r="AG136" i="1" s="1"/>
  <c r="AB123" i="1"/>
  <c r="AC123" i="1" s="1"/>
  <c r="AD123" i="1" s="1"/>
  <c r="AG123" i="1" s="1"/>
  <c r="AB54" i="1"/>
  <c r="AC54" i="1" s="1"/>
  <c r="AD54" i="1" s="1"/>
  <c r="AG54" i="1" s="1"/>
  <c r="AB175" i="1"/>
  <c r="AC175" i="1" s="1"/>
  <c r="AD175" i="1" s="1"/>
  <c r="AG175" i="1" s="1"/>
  <c r="AB204" i="1"/>
  <c r="AC204" i="1" s="1"/>
  <c r="AD204" i="1" s="1"/>
  <c r="AG204" i="1" s="1"/>
  <c r="AB292" i="1"/>
  <c r="AC292" i="1" s="1"/>
  <c r="AD292" i="1" s="1"/>
  <c r="AG292" i="1" s="1"/>
  <c r="AB75" i="1"/>
  <c r="AC75" i="1" s="1"/>
  <c r="AD75" i="1" s="1"/>
  <c r="AG75" i="1" s="1"/>
  <c r="AB235" i="1"/>
  <c r="AC235" i="1" s="1"/>
  <c r="AD235" i="1" s="1"/>
  <c r="AG235" i="1" s="1"/>
  <c r="AB294" i="1"/>
  <c r="AC294" i="1" s="1"/>
  <c r="AD294" i="1" s="1"/>
  <c r="AG294" i="1" s="1"/>
  <c r="AB42" i="1"/>
  <c r="AC42" i="1" s="1"/>
  <c r="AD42" i="1" s="1"/>
  <c r="AG42" i="1" s="1"/>
  <c r="AB277" i="1"/>
  <c r="AC277" i="1" s="1"/>
  <c r="AD277" i="1" s="1"/>
  <c r="AG277" i="1" s="1"/>
  <c r="AB37" i="1"/>
  <c r="AC37" i="1" s="1"/>
  <c r="AD37" i="1" s="1"/>
  <c r="AG37" i="1" s="1"/>
  <c r="AB17" i="1"/>
  <c r="AC17" i="1" s="1"/>
  <c r="AD17" i="1" s="1"/>
  <c r="AG17" i="1" s="1"/>
  <c r="AB209" i="1"/>
  <c r="AC209" i="1" s="1"/>
  <c r="AD209" i="1" s="1"/>
  <c r="AG209" i="1" s="1"/>
  <c r="AB247" i="1"/>
  <c r="AC247" i="1" s="1"/>
  <c r="AD247" i="1" s="1"/>
  <c r="AG247" i="1" s="1"/>
  <c r="AB192" i="1"/>
  <c r="AC192" i="1" s="1"/>
  <c r="AD192" i="1" s="1"/>
  <c r="AG192" i="1" s="1"/>
  <c r="AB110" i="1"/>
  <c r="AC110" i="1" s="1"/>
  <c r="AD110" i="1" s="1"/>
  <c r="AG110" i="1" s="1"/>
  <c r="AB96" i="1"/>
  <c r="AC96" i="1" s="1"/>
  <c r="AD96" i="1" s="1"/>
  <c r="AG96" i="1" s="1"/>
  <c r="AB47" i="1"/>
  <c r="AC47" i="1" s="1"/>
  <c r="AD47" i="1" s="1"/>
  <c r="AG47" i="1" s="1"/>
  <c r="AB7" i="1"/>
  <c r="AC7" i="1" s="1"/>
  <c r="AD7" i="1" s="1"/>
  <c r="AG7" i="1" s="1"/>
  <c r="AB257" i="1"/>
  <c r="AC257" i="1" s="1"/>
  <c r="AD257" i="1" s="1"/>
  <c r="AG257" i="1" s="1"/>
  <c r="AB260" i="1"/>
  <c r="AC260" i="1" s="1"/>
  <c r="AD260" i="1" s="1"/>
  <c r="AG260" i="1" s="1"/>
  <c r="AB89" i="1"/>
  <c r="AC89" i="1" s="1"/>
  <c r="AD89" i="1" s="1"/>
  <c r="AG89" i="1" s="1"/>
  <c r="AB66" i="1"/>
  <c r="AC66" i="1" s="1"/>
  <c r="AD66" i="1" s="1"/>
  <c r="AG66" i="1" s="1"/>
  <c r="AB9" i="1"/>
  <c r="AC9" i="1" s="1"/>
  <c r="AD9" i="1" s="1"/>
  <c r="AG9" i="1" s="1"/>
  <c r="AB196" i="1"/>
  <c r="AC196" i="1" s="1"/>
  <c r="AD196" i="1" s="1"/>
  <c r="AG196" i="1" s="1"/>
  <c r="AB121" i="1"/>
  <c r="AC121" i="1" s="1"/>
  <c r="AD121" i="1" s="1"/>
  <c r="AG121" i="1" s="1"/>
  <c r="AB133" i="1"/>
  <c r="AC133" i="1" s="1"/>
  <c r="AD133" i="1" s="1"/>
  <c r="AG133" i="1" s="1"/>
  <c r="AB137" i="1"/>
  <c r="AC137" i="1" s="1"/>
  <c r="AD137" i="1" s="1"/>
  <c r="AG137" i="1" s="1"/>
  <c r="AB159" i="1"/>
  <c r="AC159" i="1" s="1"/>
  <c r="AD159" i="1" s="1"/>
  <c r="AG159" i="1" s="1"/>
  <c r="AB170" i="1"/>
  <c r="AC170" i="1" s="1"/>
  <c r="AD170" i="1" s="1"/>
  <c r="AG170" i="1" s="1"/>
  <c r="AB275" i="1"/>
  <c r="AC275" i="1" s="1"/>
  <c r="AD275" i="1" s="1"/>
  <c r="AG275" i="1" s="1"/>
  <c r="AB290" i="1"/>
  <c r="AC290" i="1" s="1"/>
  <c r="AD290" i="1" s="1"/>
  <c r="AG290" i="1" s="1"/>
  <c r="AB263" i="1"/>
  <c r="AC263" i="1" s="1"/>
  <c r="AD263" i="1" s="1"/>
  <c r="AG263" i="1" s="1"/>
  <c r="AB70" i="1"/>
  <c r="AC70" i="1" s="1"/>
  <c r="AD70" i="1" s="1"/>
  <c r="AG70" i="1" s="1"/>
  <c r="AB297" i="1"/>
  <c r="AC297" i="1" s="1"/>
  <c r="AD297" i="1" s="1"/>
  <c r="AG297" i="1" s="1"/>
  <c r="AB302" i="1"/>
  <c r="AC302" i="1" s="1"/>
  <c r="AD302" i="1" s="1"/>
  <c r="AG302" i="1" s="1"/>
  <c r="AB244" i="1"/>
  <c r="AC244" i="1" s="1"/>
  <c r="AD244" i="1" s="1"/>
  <c r="AG244" i="1" s="1"/>
  <c r="AB140" i="1"/>
  <c r="AC140" i="1" s="1"/>
  <c r="AD140" i="1" s="1"/>
  <c r="AG140" i="1" s="1"/>
  <c r="AB22" i="1"/>
  <c r="AC22" i="1" s="1"/>
  <c r="AD22" i="1" s="1"/>
  <c r="AG22" i="1" s="1"/>
  <c r="AB41" i="1"/>
  <c r="AC41" i="1" s="1"/>
  <c r="AD41" i="1" s="1"/>
  <c r="AG41" i="1" s="1"/>
  <c r="AB149" i="1"/>
  <c r="AC149" i="1" s="1"/>
  <c r="AD149" i="1" s="1"/>
  <c r="AG149" i="1" s="1"/>
  <c r="AB211" i="1"/>
  <c r="AC211" i="1" s="1"/>
  <c r="AD211" i="1" s="1"/>
  <c r="AG211" i="1" s="1"/>
  <c r="AB206" i="1"/>
  <c r="AC206" i="1" s="1"/>
  <c r="AD206" i="1" s="1"/>
  <c r="AG206" i="1" s="1"/>
  <c r="AB79" i="1"/>
  <c r="AC79" i="1" s="1"/>
  <c r="AD79" i="1" s="1"/>
  <c r="AG79" i="1" s="1"/>
  <c r="AB56" i="1"/>
  <c r="AC56" i="1" s="1"/>
  <c r="AD56" i="1" s="1"/>
  <c r="AG56" i="1" s="1"/>
  <c r="AB304" i="1"/>
  <c r="AC304" i="1" s="1"/>
  <c r="AD304" i="1" s="1"/>
  <c r="AG304" i="1" s="1"/>
  <c r="AB242" i="1"/>
  <c r="AC242" i="1" s="1"/>
  <c r="AD242" i="1" s="1"/>
  <c r="AG242" i="1" s="1"/>
  <c r="AB84" i="1"/>
  <c r="AC84" i="1" s="1"/>
  <c r="AD84" i="1" s="1"/>
  <c r="AG84" i="1" s="1"/>
  <c r="BA209" i="1"/>
  <c r="BB209" i="1" s="1"/>
  <c r="BA167" i="1"/>
  <c r="BB167" i="1" s="1"/>
  <c r="AB78" i="1"/>
  <c r="AC78" i="1" s="1"/>
  <c r="AD78" i="1" s="1"/>
  <c r="AG78" i="1" s="1"/>
  <c r="AB49" i="1"/>
  <c r="AC49" i="1" s="1"/>
  <c r="AD49" i="1" s="1"/>
  <c r="AG49" i="1" s="1"/>
  <c r="AB33" i="1"/>
  <c r="AC33" i="1" s="1"/>
  <c r="AD33" i="1" s="1"/>
  <c r="AG33" i="1" s="1"/>
  <c r="AB127" i="1"/>
  <c r="AC127" i="1" s="1"/>
  <c r="AD127" i="1" s="1"/>
  <c r="AG127" i="1" s="1"/>
  <c r="AI224" i="1"/>
  <c r="AM224" i="1" s="1"/>
  <c r="BA224" i="1"/>
  <c r="BB224" i="1" s="1"/>
  <c r="AB182" i="1"/>
  <c r="AC182" i="1" s="1"/>
  <c r="AD182" i="1" s="1"/>
  <c r="AG182" i="1" s="1"/>
  <c r="AI20" i="1"/>
  <c r="AM20" i="1" s="1"/>
  <c r="BA20" i="1"/>
  <c r="BB20" i="1" s="1"/>
  <c r="AB32" i="1"/>
  <c r="AC32" i="1" s="1"/>
  <c r="AD32" i="1" s="1"/>
  <c r="AG32" i="1" s="1"/>
  <c r="BA148" i="1"/>
  <c r="BB148" i="1" s="1"/>
  <c r="BA235" i="1"/>
  <c r="BB235" i="1" s="1"/>
  <c r="AI300" i="1"/>
  <c r="AM300" i="1" s="1"/>
  <c r="BA300" i="1"/>
  <c r="BB300" i="1" s="1"/>
  <c r="AI240" i="1"/>
  <c r="AM240" i="1" s="1"/>
  <c r="BA240" i="1"/>
  <c r="BB240" i="1" s="1"/>
  <c r="AB243" i="1"/>
  <c r="AC243" i="1" s="1"/>
  <c r="AD243" i="1" s="1"/>
  <c r="AG243" i="1" s="1"/>
  <c r="AI220" i="1"/>
  <c r="AM220" i="1" s="1"/>
  <c r="BA220" i="1"/>
  <c r="BB220" i="1" s="1"/>
  <c r="AB212" i="1"/>
  <c r="AC212" i="1" s="1"/>
  <c r="AD212" i="1" s="1"/>
  <c r="AG212" i="1" s="1"/>
  <c r="AI175" i="1"/>
  <c r="AM175" i="1" s="1"/>
  <c r="BA175" i="1"/>
  <c r="BB175" i="1" s="1"/>
  <c r="AI55" i="1"/>
  <c r="AM55" i="1" s="1"/>
  <c r="BA55" i="1"/>
  <c r="BB55" i="1" s="1"/>
  <c r="BA142" i="1"/>
  <c r="BB142" i="1" s="1"/>
  <c r="AI160" i="1"/>
  <c r="AM160" i="1" s="1"/>
  <c r="BA160" i="1"/>
  <c r="BB160" i="1" s="1"/>
  <c r="AI267" i="1"/>
  <c r="AM267" i="1" s="1"/>
  <c r="BA267" i="1"/>
  <c r="BB267" i="1" s="1"/>
  <c r="AI288" i="1"/>
  <c r="AM288" i="1" s="1"/>
  <c r="BA288" i="1"/>
  <c r="BB288" i="1" s="1"/>
  <c r="BA276" i="1"/>
  <c r="BB276" i="1" s="1"/>
  <c r="AI276" i="1"/>
  <c r="AM276" i="1" s="1"/>
  <c r="AI191" i="1"/>
  <c r="AM191" i="1" s="1"/>
  <c r="BA191" i="1"/>
  <c r="BB191" i="1" s="1"/>
  <c r="AB61" i="1"/>
  <c r="AC61" i="1" s="1"/>
  <c r="AD61" i="1" s="1"/>
  <c r="AG61" i="1" s="1"/>
  <c r="AI87" i="1"/>
  <c r="AM87" i="1" s="1"/>
  <c r="BA87" i="1"/>
  <c r="BB87" i="1" s="1"/>
  <c r="AB59" i="1"/>
  <c r="AC59" i="1" s="1"/>
  <c r="AD59" i="1" s="1"/>
  <c r="AG59" i="1" s="1"/>
  <c r="AB104" i="1"/>
  <c r="AC104" i="1" s="1"/>
  <c r="AD104" i="1" s="1"/>
  <c r="AG104" i="1" s="1"/>
  <c r="AI42" i="1"/>
  <c r="AM42" i="1" s="1"/>
  <c r="BA42" i="1"/>
  <c r="BB42" i="1" s="1"/>
  <c r="AB14" i="1"/>
  <c r="AC14" i="1" s="1"/>
  <c r="AD14" i="1" s="1"/>
  <c r="AG14" i="1" s="1"/>
  <c r="AI301" i="1"/>
  <c r="AM301" i="1" s="1"/>
  <c r="BA301" i="1"/>
  <c r="BB301" i="1" s="1"/>
  <c r="AB250" i="1"/>
  <c r="AC250" i="1" s="1"/>
  <c r="AD250" i="1" s="1"/>
  <c r="AG250" i="1" s="1"/>
  <c r="AB282" i="1"/>
  <c r="AC282" i="1" s="1"/>
  <c r="AD282" i="1" s="1"/>
  <c r="AG282" i="1" s="1"/>
  <c r="AI264" i="1"/>
  <c r="AM264" i="1" s="1"/>
  <c r="BA264" i="1"/>
  <c r="BB264" i="1" s="1"/>
  <c r="AI226" i="1"/>
  <c r="AM226" i="1" s="1"/>
  <c r="BA226" i="1"/>
  <c r="BB226" i="1" s="1"/>
  <c r="AB105" i="1"/>
  <c r="AC105" i="1" s="1"/>
  <c r="AD105" i="1" s="1"/>
  <c r="AG105" i="1" s="1"/>
  <c r="BA133" i="1"/>
  <c r="BB133" i="1" s="1"/>
  <c r="BA275" i="1"/>
  <c r="BB275" i="1" s="1"/>
  <c r="AI275" i="1"/>
  <c r="AM275" i="1" s="1"/>
  <c r="AB274" i="1"/>
  <c r="AC274" i="1" s="1"/>
  <c r="AD274" i="1" s="1"/>
  <c r="AG274" i="1" s="1"/>
  <c r="AI181" i="1"/>
  <c r="AM181" i="1" s="1"/>
  <c r="BA181" i="1"/>
  <c r="BB181" i="1" s="1"/>
  <c r="AI124" i="1"/>
  <c r="AM124" i="1" s="1"/>
  <c r="BA124" i="1"/>
  <c r="BB124" i="1" s="1"/>
  <c r="AB81" i="1"/>
  <c r="AC81" i="1" s="1"/>
  <c r="AD81" i="1" s="1"/>
  <c r="AG81" i="1" s="1"/>
  <c r="AI63" i="1"/>
  <c r="AM63" i="1" s="1"/>
  <c r="BA63" i="1"/>
  <c r="BB63" i="1" s="1"/>
  <c r="AI52" i="1"/>
  <c r="AM52" i="1" s="1"/>
  <c r="BA52" i="1"/>
  <c r="BB52" i="1" s="1"/>
  <c r="BA27" i="1"/>
  <c r="BB27" i="1" s="1"/>
  <c r="AB286" i="1"/>
  <c r="AC286" i="1" s="1"/>
  <c r="AD286" i="1" s="1"/>
  <c r="AG286" i="1" s="1"/>
  <c r="AI297" i="1"/>
  <c r="AM297" i="1" s="1"/>
  <c r="BA297" i="1"/>
  <c r="BB297" i="1" s="1"/>
  <c r="AB262" i="1"/>
  <c r="AC262" i="1" s="1"/>
  <c r="AD262" i="1" s="1"/>
  <c r="AG262" i="1" s="1"/>
  <c r="AI11" i="1"/>
  <c r="AM11" i="1" s="1"/>
  <c r="BA11" i="1"/>
  <c r="BB11" i="1" s="1"/>
  <c r="AI216" i="1"/>
  <c r="AM216" i="1" s="1"/>
  <c r="BA216" i="1"/>
  <c r="BB216" i="1" s="1"/>
  <c r="AI279" i="1"/>
  <c r="AM279" i="1" s="1"/>
  <c r="BA279" i="1"/>
  <c r="BB279" i="1" s="1"/>
  <c r="AI231" i="1"/>
  <c r="AM231" i="1" s="1"/>
  <c r="BA231" i="1"/>
  <c r="BB231" i="1" s="1"/>
  <c r="AI77" i="1"/>
  <c r="AM77" i="1" s="1"/>
  <c r="BA77" i="1"/>
  <c r="BB77" i="1" s="1"/>
  <c r="AI30" i="1"/>
  <c r="AM30" i="1" s="1"/>
  <c r="BA30" i="1"/>
  <c r="BB30" i="1" s="1"/>
  <c r="AB46" i="1"/>
  <c r="AC46" i="1" s="1"/>
  <c r="AD46" i="1" s="1"/>
  <c r="AG46" i="1" s="1"/>
  <c r="AI13" i="1"/>
  <c r="AM13" i="1" s="1"/>
  <c r="BA13" i="1"/>
  <c r="BB13" i="1" s="1"/>
  <c r="AI99" i="1"/>
  <c r="AM99" i="1" s="1"/>
  <c r="BA99" i="1"/>
  <c r="BB99" i="1" s="1"/>
  <c r="AB261" i="1"/>
  <c r="AC261" i="1" s="1"/>
  <c r="AD261" i="1" s="1"/>
  <c r="AG261" i="1" s="1"/>
  <c r="AI76" i="1"/>
  <c r="AM76" i="1" s="1"/>
  <c r="BA76" i="1"/>
  <c r="BB76" i="1" s="1"/>
  <c r="AI45" i="1"/>
  <c r="AM45" i="1" s="1"/>
  <c r="BA45" i="1"/>
  <c r="BB45" i="1" s="1"/>
  <c r="AI103" i="1"/>
  <c r="AM103" i="1" s="1"/>
  <c r="BA103" i="1"/>
  <c r="BB103" i="1" s="1"/>
  <c r="AB143" i="1"/>
  <c r="AC143" i="1" s="1"/>
  <c r="AD143" i="1" s="1"/>
  <c r="AG143" i="1" s="1"/>
  <c r="BA149" i="1"/>
  <c r="BB149" i="1" s="1"/>
  <c r="AI149" i="1"/>
  <c r="AM149" i="1" s="1"/>
  <c r="AI176" i="1"/>
  <c r="AM176" i="1" s="1"/>
  <c r="BA176" i="1"/>
  <c r="BB176" i="1" s="1"/>
  <c r="AB215" i="1"/>
  <c r="AC215" i="1" s="1"/>
  <c r="AD215" i="1" s="1"/>
  <c r="AG215" i="1" s="1"/>
  <c r="AI238" i="1"/>
  <c r="AM238" i="1" s="1"/>
  <c r="BA238" i="1"/>
  <c r="BB238" i="1" s="1"/>
  <c r="AI206" i="1"/>
  <c r="AM206" i="1" s="1"/>
  <c r="BA206" i="1"/>
  <c r="BB206" i="1" s="1"/>
  <c r="AB69" i="1"/>
  <c r="AC69" i="1" s="1"/>
  <c r="AD69" i="1" s="1"/>
  <c r="AG69" i="1" s="1"/>
  <c r="AI79" i="1"/>
  <c r="AM79" i="1" s="1"/>
  <c r="BA79" i="1"/>
  <c r="BB79" i="1" s="1"/>
  <c r="AI8" i="1"/>
  <c r="AM8" i="1" s="1"/>
  <c r="BA8" i="1"/>
  <c r="BB8" i="1" s="1"/>
  <c r="AI106" i="1"/>
  <c r="AM106" i="1" s="1"/>
  <c r="BA106" i="1"/>
  <c r="BB106" i="1" s="1"/>
  <c r="AB64" i="1"/>
  <c r="AC64" i="1" s="1"/>
  <c r="AD64" i="1" s="1"/>
  <c r="AG64" i="1" s="1"/>
  <c r="AB24" i="1"/>
  <c r="AC24" i="1" s="1"/>
  <c r="AD24" i="1" s="1"/>
  <c r="AG24" i="1" s="1"/>
  <c r="AB284" i="1"/>
  <c r="AC284" i="1" s="1"/>
  <c r="AD284" i="1" s="1"/>
  <c r="AG284" i="1" s="1"/>
  <c r="AI229" i="1"/>
  <c r="AM229" i="1" s="1"/>
  <c r="BA229" i="1"/>
  <c r="BB229" i="1" s="1"/>
  <c r="AI232" i="1"/>
  <c r="AM232" i="1" s="1"/>
  <c r="BA232" i="1"/>
  <c r="BB232" i="1" s="1"/>
  <c r="BA180" i="1"/>
  <c r="BB180" i="1" s="1"/>
  <c r="AI43" i="1"/>
  <c r="AM43" i="1" s="1"/>
  <c r="BA43" i="1"/>
  <c r="BB43" i="1" s="1"/>
  <c r="BA122" i="1"/>
  <c r="BB122" i="1" s="1"/>
  <c r="AI122" i="1"/>
  <c r="AM122" i="1" s="1"/>
  <c r="BA272" i="1"/>
  <c r="BB272" i="1" s="1"/>
  <c r="AI272" i="1"/>
  <c r="AM272" i="1" s="1"/>
  <c r="AI214" i="1"/>
  <c r="AM214" i="1" s="1"/>
  <c r="BA214" i="1"/>
  <c r="BB214" i="1" s="1"/>
  <c r="AB214" i="1"/>
  <c r="AC214" i="1" s="1"/>
  <c r="AD214" i="1" s="1"/>
  <c r="AG214" i="1" s="1"/>
  <c r="AB113" i="1"/>
  <c r="AC113" i="1" s="1"/>
  <c r="AD113" i="1" s="1"/>
  <c r="AG113" i="1" s="1"/>
  <c r="AB26" i="1"/>
  <c r="AC26" i="1" s="1"/>
  <c r="AD26" i="1" s="1"/>
  <c r="AG26" i="1" s="1"/>
  <c r="AI305" i="1"/>
  <c r="AM305" i="1" s="1"/>
  <c r="BA305" i="1"/>
  <c r="BB305" i="1" s="1"/>
  <c r="AI289" i="1"/>
  <c r="AM289" i="1" s="1"/>
  <c r="BA289" i="1"/>
  <c r="BB289" i="1" s="1"/>
  <c r="AI177" i="1"/>
  <c r="AM177" i="1" s="1"/>
  <c r="BA177" i="1"/>
  <c r="BB177" i="1" s="1"/>
  <c r="AI94" i="1"/>
  <c r="AM94" i="1" s="1"/>
  <c r="BA94" i="1"/>
  <c r="BB94" i="1" s="1"/>
  <c r="AI60" i="1"/>
  <c r="AM60" i="1" s="1"/>
  <c r="BA60" i="1"/>
  <c r="BB60" i="1" s="1"/>
  <c r="AI29" i="1"/>
  <c r="AM29" i="1" s="1"/>
  <c r="BA29" i="1"/>
  <c r="BB29" i="1" s="1"/>
  <c r="AB129" i="1"/>
  <c r="AC129" i="1" s="1"/>
  <c r="AD129" i="1" s="1"/>
  <c r="AG129" i="1" s="1"/>
  <c r="AI141" i="1"/>
  <c r="AM141" i="1" s="1"/>
  <c r="BA141" i="1"/>
  <c r="BB141" i="1" s="1"/>
  <c r="AI153" i="1"/>
  <c r="AM153" i="1" s="1"/>
  <c r="BA153" i="1"/>
  <c r="BB153" i="1" s="1"/>
  <c r="AI295" i="1"/>
  <c r="AM295" i="1" s="1"/>
  <c r="BA295" i="1"/>
  <c r="BB295" i="1" s="1"/>
  <c r="AI183" i="1"/>
  <c r="AM183" i="1" s="1"/>
  <c r="BA183" i="1"/>
  <c r="BB183" i="1" s="1"/>
  <c r="AB194" i="1"/>
  <c r="AC194" i="1" s="1"/>
  <c r="AD194" i="1" s="1"/>
  <c r="AG194" i="1" s="1"/>
  <c r="AI67" i="1"/>
  <c r="AM67" i="1" s="1"/>
  <c r="BA67" i="1"/>
  <c r="BB67" i="1" s="1"/>
  <c r="AB102" i="1"/>
  <c r="AC102" i="1" s="1"/>
  <c r="AD102" i="1" s="1"/>
  <c r="AG102" i="1" s="1"/>
  <c r="BA35" i="1"/>
  <c r="BB35" i="1" s="1"/>
  <c r="BA202" i="1"/>
  <c r="BB202" i="1" s="1"/>
  <c r="AI202" i="1"/>
  <c r="AM202" i="1" s="1"/>
  <c r="AB270" i="1"/>
  <c r="AC270" i="1" s="1"/>
  <c r="AD270" i="1" s="1"/>
  <c r="AG270" i="1" s="1"/>
  <c r="AI217" i="1"/>
  <c r="AM217" i="1" s="1"/>
  <c r="BA217" i="1"/>
  <c r="BB217" i="1" s="1"/>
  <c r="BA236" i="1"/>
  <c r="BB236" i="1" s="1"/>
  <c r="AB132" i="1"/>
  <c r="AC132" i="1" s="1"/>
  <c r="AD132" i="1" s="1"/>
  <c r="AG132" i="1" s="1"/>
  <c r="AI144" i="1"/>
  <c r="AM144" i="1" s="1"/>
  <c r="BA144" i="1"/>
  <c r="BB144" i="1" s="1"/>
  <c r="AB161" i="1"/>
  <c r="AC161" i="1" s="1"/>
  <c r="AD161" i="1" s="1"/>
  <c r="AG161" i="1" s="1"/>
  <c r="AI255" i="1"/>
  <c r="AM255" i="1" s="1"/>
  <c r="BA255" i="1"/>
  <c r="BB255" i="1" s="1"/>
  <c r="AI187" i="1"/>
  <c r="AM187" i="1" s="1"/>
  <c r="BA187" i="1"/>
  <c r="BB187" i="1" s="1"/>
  <c r="BA185" i="1"/>
  <c r="BB185" i="1" s="1"/>
  <c r="AI203" i="1"/>
  <c r="AM203" i="1" s="1"/>
  <c r="BA203" i="1"/>
  <c r="BB203" i="1" s="1"/>
  <c r="AB73" i="1"/>
  <c r="AC73" i="1" s="1"/>
  <c r="AD73" i="1" s="1"/>
  <c r="AG73" i="1" s="1"/>
  <c r="AI71" i="1"/>
  <c r="AM71" i="1" s="1"/>
  <c r="BA71" i="1"/>
  <c r="BB71" i="1" s="1"/>
  <c r="AI100" i="1"/>
  <c r="AM100" i="1" s="1"/>
  <c r="BA100" i="1"/>
  <c r="BB100" i="1" s="1"/>
  <c r="AI62" i="1"/>
  <c r="AM62" i="1" s="1"/>
  <c r="BA62" i="1"/>
  <c r="BB62" i="1" s="1"/>
  <c r="AB38" i="1"/>
  <c r="AC38" i="1" s="1"/>
  <c r="AD38" i="1" s="1"/>
  <c r="AG38" i="1" s="1"/>
  <c r="AB172" i="1"/>
  <c r="AC172" i="1" s="1"/>
  <c r="AD172" i="1" s="1"/>
  <c r="AG172" i="1" s="1"/>
  <c r="AI285" i="1"/>
  <c r="AM285" i="1" s="1"/>
  <c r="BA285" i="1"/>
  <c r="BB285" i="1" s="1"/>
  <c r="AI266" i="1"/>
  <c r="AM266" i="1" s="1"/>
  <c r="BA266" i="1"/>
  <c r="BB266" i="1" s="1"/>
  <c r="AB249" i="1"/>
  <c r="AC249" i="1" s="1"/>
  <c r="AD249" i="1" s="1"/>
  <c r="AG249" i="1" s="1"/>
  <c r="BA247" i="1"/>
  <c r="BB247" i="1" s="1"/>
  <c r="AB188" i="1"/>
  <c r="AC188" i="1" s="1"/>
  <c r="AD188" i="1" s="1"/>
  <c r="AG188" i="1" s="1"/>
  <c r="AB167" i="1"/>
  <c r="AC167" i="1" s="1"/>
  <c r="AD167" i="1" s="1"/>
  <c r="AG167" i="1" s="1"/>
  <c r="AI127" i="1"/>
  <c r="AM127" i="1" s="1"/>
  <c r="BA127" i="1"/>
  <c r="BB127" i="1" s="1"/>
  <c r="AI139" i="1"/>
  <c r="AM139" i="1" s="1"/>
  <c r="BA139" i="1"/>
  <c r="BB139" i="1" s="1"/>
  <c r="AB139" i="1"/>
  <c r="AC139" i="1" s="1"/>
  <c r="AD139" i="1" s="1"/>
  <c r="AG139" i="1" s="1"/>
  <c r="AI151" i="1"/>
  <c r="AM151" i="1" s="1"/>
  <c r="BA151" i="1"/>
  <c r="BB151" i="1" s="1"/>
  <c r="AB158" i="1"/>
  <c r="AC158" i="1" s="1"/>
  <c r="AD158" i="1" s="1"/>
  <c r="AG158" i="1" s="1"/>
  <c r="AB224" i="1"/>
  <c r="AC224" i="1" s="1"/>
  <c r="AD224" i="1" s="1"/>
  <c r="AG224" i="1" s="1"/>
  <c r="AB93" i="1"/>
  <c r="AC93" i="1" s="1"/>
  <c r="AD93" i="1" s="1"/>
  <c r="AG93" i="1" s="1"/>
  <c r="AB65" i="1"/>
  <c r="AC65" i="1" s="1"/>
  <c r="AD65" i="1" s="1"/>
  <c r="AG65" i="1" s="1"/>
  <c r="AB48" i="1"/>
  <c r="AC48" i="1" s="1"/>
  <c r="AD48" i="1" s="1"/>
  <c r="AG48" i="1" s="1"/>
  <c r="AI44" i="1"/>
  <c r="AM44" i="1" s="1"/>
  <c r="BA44" i="1"/>
  <c r="BB44" i="1" s="1"/>
  <c r="AB20" i="1"/>
  <c r="AC20" i="1" s="1"/>
  <c r="AD20" i="1" s="1"/>
  <c r="AG20" i="1" s="1"/>
  <c r="AB197" i="1"/>
  <c r="AC197" i="1" s="1"/>
  <c r="AD197" i="1" s="1"/>
  <c r="AG197" i="1" s="1"/>
  <c r="AI280" i="1"/>
  <c r="AM280" i="1" s="1"/>
  <c r="BA280" i="1"/>
  <c r="BB280" i="1" s="1"/>
  <c r="AB240" i="1"/>
  <c r="AC240" i="1" s="1"/>
  <c r="AD240" i="1" s="1"/>
  <c r="AG240" i="1" s="1"/>
  <c r="AI225" i="1"/>
  <c r="AM225" i="1" s="1"/>
  <c r="BA225" i="1"/>
  <c r="BB225" i="1" s="1"/>
  <c r="AB220" i="1"/>
  <c r="AC220" i="1" s="1"/>
  <c r="AD220" i="1" s="1"/>
  <c r="AG220" i="1" s="1"/>
  <c r="AB55" i="1"/>
  <c r="AC55" i="1" s="1"/>
  <c r="AD55" i="1" s="1"/>
  <c r="AG55" i="1" s="1"/>
  <c r="AB130" i="1"/>
  <c r="AC130" i="1" s="1"/>
  <c r="AD130" i="1" s="1"/>
  <c r="AG130" i="1" s="1"/>
  <c r="AI200" i="1"/>
  <c r="AM200" i="1" s="1"/>
  <c r="BA200" i="1"/>
  <c r="BB200" i="1" s="1"/>
  <c r="BA294" i="1"/>
  <c r="BB294" i="1" s="1"/>
  <c r="AB160" i="1"/>
  <c r="AC160" i="1" s="1"/>
  <c r="AD160" i="1" s="1"/>
  <c r="AG160" i="1" s="1"/>
  <c r="AB288" i="1"/>
  <c r="AC288" i="1" s="1"/>
  <c r="AD288" i="1" s="1"/>
  <c r="AG288" i="1" s="1"/>
  <c r="AB276" i="1"/>
  <c r="AC276" i="1" s="1"/>
  <c r="AD276" i="1" s="1"/>
  <c r="AG276" i="1" s="1"/>
  <c r="AI169" i="1"/>
  <c r="AM169" i="1" s="1"/>
  <c r="BA169" i="1"/>
  <c r="BB169" i="1" s="1"/>
  <c r="AB186" i="1"/>
  <c r="AC186" i="1" s="1"/>
  <c r="AD186" i="1" s="1"/>
  <c r="AG186" i="1" s="1"/>
  <c r="AI186" i="1"/>
  <c r="AM186" i="1" s="1"/>
  <c r="BA186" i="1"/>
  <c r="BB186" i="1" s="1"/>
  <c r="AI61" i="1"/>
  <c r="AM61" i="1" s="1"/>
  <c r="BA61" i="1"/>
  <c r="BB61" i="1" s="1"/>
  <c r="AB87" i="1"/>
  <c r="AC87" i="1" s="1"/>
  <c r="AD87" i="1" s="1"/>
  <c r="AG87" i="1" s="1"/>
  <c r="AI66" i="1"/>
  <c r="AM66" i="1" s="1"/>
  <c r="BA66" i="1"/>
  <c r="BB66" i="1" s="1"/>
  <c r="AB18" i="1"/>
  <c r="AC18" i="1" s="1"/>
  <c r="AD18" i="1" s="1"/>
  <c r="AG18" i="1" s="1"/>
  <c r="AI253" i="1"/>
  <c r="AM253" i="1" s="1"/>
  <c r="BA253" i="1"/>
  <c r="BB253" i="1" s="1"/>
  <c r="AB226" i="1"/>
  <c r="AC226" i="1" s="1"/>
  <c r="AD226" i="1" s="1"/>
  <c r="AG226" i="1" s="1"/>
  <c r="AB256" i="1"/>
  <c r="AC256" i="1" s="1"/>
  <c r="AD256" i="1" s="1"/>
  <c r="AG256" i="1" s="1"/>
  <c r="BA72" i="1"/>
  <c r="BB72" i="1" s="1"/>
  <c r="AI37" i="1"/>
  <c r="AM37" i="1" s="1"/>
  <c r="BA37" i="1"/>
  <c r="BB37" i="1" s="1"/>
  <c r="AI17" i="1"/>
  <c r="AM17" i="1" s="1"/>
  <c r="BA17" i="1"/>
  <c r="BB17" i="1" s="1"/>
  <c r="AI88" i="1"/>
  <c r="AM88" i="1" s="1"/>
  <c r="BA88" i="1"/>
  <c r="BB88" i="1" s="1"/>
  <c r="AI121" i="1"/>
  <c r="AM121" i="1" s="1"/>
  <c r="BA121" i="1"/>
  <c r="BB121" i="1" s="1"/>
  <c r="BA166" i="1"/>
  <c r="BB166" i="1" s="1"/>
  <c r="AI159" i="1"/>
  <c r="AM159" i="1" s="1"/>
  <c r="BA159" i="1"/>
  <c r="BB159" i="1" s="1"/>
  <c r="AB259" i="1"/>
  <c r="AC259" i="1" s="1"/>
  <c r="AD259" i="1" s="1"/>
  <c r="AG259" i="1" s="1"/>
  <c r="AI290" i="1"/>
  <c r="AM290" i="1" s="1"/>
  <c r="BA290" i="1"/>
  <c r="BB290" i="1" s="1"/>
  <c r="AI274" i="1"/>
  <c r="AM274" i="1" s="1"/>
  <c r="BA274" i="1"/>
  <c r="BB274" i="1" s="1"/>
  <c r="AI222" i="1"/>
  <c r="AM222" i="1" s="1"/>
  <c r="BA222" i="1"/>
  <c r="BB222" i="1" s="1"/>
  <c r="AI91" i="1"/>
  <c r="AM91" i="1" s="1"/>
  <c r="BA91" i="1"/>
  <c r="BB91" i="1" s="1"/>
  <c r="AB52" i="1"/>
  <c r="AC52" i="1" s="1"/>
  <c r="AD52" i="1" s="1"/>
  <c r="AG52" i="1" s="1"/>
  <c r="AI36" i="1"/>
  <c r="AM36" i="1" s="1"/>
  <c r="BA36" i="1"/>
  <c r="BB36" i="1" s="1"/>
  <c r="AI80" i="1"/>
  <c r="AM80" i="1" s="1"/>
  <c r="BA80" i="1"/>
  <c r="BB80" i="1" s="1"/>
  <c r="AB27" i="1"/>
  <c r="AC27" i="1" s="1"/>
  <c r="AD27" i="1" s="1"/>
  <c r="AG27" i="1" s="1"/>
  <c r="AI174" i="1"/>
  <c r="AM174" i="1" s="1"/>
  <c r="BA174" i="1"/>
  <c r="BB174" i="1" s="1"/>
  <c r="AI278" i="1"/>
  <c r="AM278" i="1" s="1"/>
  <c r="BA278" i="1"/>
  <c r="BB278" i="1" s="1"/>
  <c r="AI228" i="1"/>
  <c r="AM228" i="1" s="1"/>
  <c r="BA228" i="1"/>
  <c r="BB228" i="1" s="1"/>
  <c r="AI39" i="1"/>
  <c r="AM39" i="1" s="1"/>
  <c r="BA39" i="1"/>
  <c r="BB39" i="1" s="1"/>
  <c r="AI136" i="1"/>
  <c r="AM136" i="1" s="1"/>
  <c r="BA136" i="1"/>
  <c r="BB136" i="1" s="1"/>
  <c r="AI128" i="1"/>
  <c r="AM128" i="1" s="1"/>
  <c r="BA128" i="1"/>
  <c r="BB128" i="1" s="1"/>
  <c r="AB152" i="1"/>
  <c r="AC152" i="1" s="1"/>
  <c r="AD152" i="1" s="1"/>
  <c r="AG152" i="1" s="1"/>
  <c r="AB258" i="1"/>
  <c r="AC258" i="1" s="1"/>
  <c r="AD258" i="1" s="1"/>
  <c r="AG258" i="1" s="1"/>
  <c r="BA258" i="1"/>
  <c r="BB258" i="1" s="1"/>
  <c r="BA223" i="1"/>
  <c r="BB223" i="1" s="1"/>
  <c r="AB231" i="1"/>
  <c r="AC231" i="1" s="1"/>
  <c r="AD231" i="1" s="1"/>
  <c r="AG231" i="1" s="1"/>
  <c r="AB111" i="1"/>
  <c r="AC111" i="1" s="1"/>
  <c r="AD111" i="1" s="1"/>
  <c r="AG111" i="1" s="1"/>
  <c r="AB90" i="1"/>
  <c r="AC90" i="1" s="1"/>
  <c r="AD90" i="1" s="1"/>
  <c r="AG90" i="1" s="1"/>
  <c r="AB30" i="1"/>
  <c r="AC30" i="1" s="1"/>
  <c r="AD30" i="1" s="1"/>
  <c r="AG30" i="1" s="1"/>
  <c r="AB50" i="1"/>
  <c r="AC50" i="1" s="1"/>
  <c r="AD50" i="1" s="1"/>
  <c r="AG50" i="1" s="1"/>
  <c r="AI22" i="1"/>
  <c r="AM22" i="1" s="1"/>
  <c r="BA22" i="1"/>
  <c r="BB22" i="1" s="1"/>
  <c r="AI41" i="1"/>
  <c r="AM41" i="1" s="1"/>
  <c r="BA41" i="1"/>
  <c r="BB41" i="1" s="1"/>
  <c r="AB13" i="1"/>
  <c r="AC13" i="1" s="1"/>
  <c r="AD13" i="1" s="1"/>
  <c r="AG13" i="1" s="1"/>
  <c r="AB99" i="1"/>
  <c r="AC99" i="1" s="1"/>
  <c r="AD99" i="1" s="1"/>
  <c r="AG99" i="1" s="1"/>
  <c r="AB254" i="1"/>
  <c r="AC254" i="1" s="1"/>
  <c r="AD254" i="1" s="1"/>
  <c r="AG254" i="1" s="1"/>
  <c r="AI261" i="1"/>
  <c r="AM261" i="1" s="1"/>
  <c r="BA261" i="1"/>
  <c r="BB261" i="1" s="1"/>
  <c r="AI248" i="1"/>
  <c r="AM248" i="1" s="1"/>
  <c r="BA248" i="1"/>
  <c r="BB248" i="1" s="1"/>
  <c r="AB184" i="1"/>
  <c r="AC184" i="1" s="1"/>
  <c r="AD184" i="1" s="1"/>
  <c r="AG184" i="1" s="1"/>
  <c r="AB76" i="1"/>
  <c r="AC76" i="1" s="1"/>
  <c r="AD76" i="1" s="1"/>
  <c r="AG76" i="1" s="1"/>
  <c r="AB45" i="1"/>
  <c r="AC45" i="1" s="1"/>
  <c r="AD45" i="1" s="1"/>
  <c r="AG45" i="1" s="1"/>
  <c r="AB103" i="1"/>
  <c r="AC103" i="1" s="1"/>
  <c r="AD103" i="1" s="1"/>
  <c r="AG103" i="1" s="1"/>
  <c r="AB131" i="1"/>
  <c r="AC131" i="1" s="1"/>
  <c r="AD131" i="1" s="1"/>
  <c r="AG131" i="1" s="1"/>
  <c r="AI143" i="1"/>
  <c r="AM143" i="1" s="1"/>
  <c r="BA143" i="1"/>
  <c r="BB143" i="1" s="1"/>
  <c r="AI155" i="1"/>
  <c r="AM155" i="1" s="1"/>
  <c r="BA155" i="1"/>
  <c r="BB155" i="1" s="1"/>
  <c r="AB176" i="1"/>
  <c r="AC176" i="1" s="1"/>
  <c r="AD176" i="1" s="1"/>
  <c r="AG176" i="1" s="1"/>
  <c r="AI215" i="1"/>
  <c r="AM215" i="1" s="1"/>
  <c r="BA215" i="1"/>
  <c r="BB215" i="1" s="1"/>
  <c r="BA271" i="1"/>
  <c r="BB271" i="1" s="1"/>
  <c r="AI271" i="1"/>
  <c r="AM271" i="1" s="1"/>
  <c r="AB271" i="1"/>
  <c r="AC271" i="1" s="1"/>
  <c r="AD271" i="1" s="1"/>
  <c r="AG271" i="1" s="1"/>
  <c r="AI211" i="1"/>
  <c r="AM211" i="1" s="1"/>
  <c r="BA211" i="1"/>
  <c r="BB211" i="1" s="1"/>
  <c r="AB238" i="1"/>
  <c r="AC238" i="1" s="1"/>
  <c r="AD238" i="1" s="1"/>
  <c r="AG238" i="1" s="1"/>
  <c r="AB126" i="1"/>
  <c r="AC126" i="1" s="1"/>
  <c r="AD126" i="1" s="1"/>
  <c r="AG126" i="1" s="1"/>
  <c r="AI116" i="1"/>
  <c r="AM116" i="1" s="1"/>
  <c r="BA116" i="1"/>
  <c r="BB116" i="1" s="1"/>
  <c r="BA56" i="1"/>
  <c r="BB56" i="1" s="1"/>
  <c r="AB8" i="1"/>
  <c r="AC8" i="1" s="1"/>
  <c r="AD8" i="1" s="1"/>
  <c r="AG8" i="1" s="1"/>
  <c r="AB106" i="1"/>
  <c r="AC106" i="1" s="1"/>
  <c r="AD106" i="1" s="1"/>
  <c r="AG106" i="1" s="1"/>
  <c r="AI74" i="1"/>
  <c r="AM74" i="1" s="1"/>
  <c r="BA74" i="1"/>
  <c r="BB74" i="1" s="1"/>
  <c r="AB163" i="1"/>
  <c r="AC163" i="1" s="1"/>
  <c r="AD163" i="1" s="1"/>
  <c r="AG163" i="1" s="1"/>
  <c r="AI296" i="1"/>
  <c r="AM296" i="1" s="1"/>
  <c r="BA296" i="1"/>
  <c r="BB296" i="1" s="1"/>
  <c r="AB165" i="1"/>
  <c r="AC165" i="1" s="1"/>
  <c r="AD165" i="1" s="1"/>
  <c r="AG165" i="1" s="1"/>
  <c r="AI304" i="1"/>
  <c r="AM304" i="1" s="1"/>
  <c r="BA304" i="1"/>
  <c r="BB304" i="1" s="1"/>
  <c r="AI242" i="1"/>
  <c r="AM242" i="1" s="1"/>
  <c r="BA242" i="1"/>
  <c r="BB242" i="1" s="1"/>
  <c r="AB43" i="1"/>
  <c r="AC43" i="1" s="1"/>
  <c r="AD43" i="1" s="1"/>
  <c r="AG43" i="1" s="1"/>
  <c r="AB19" i="1"/>
  <c r="AC19" i="1" s="1"/>
  <c r="AD19" i="1" s="1"/>
  <c r="AG19" i="1" s="1"/>
  <c r="AB15" i="1"/>
  <c r="AC15" i="1" s="1"/>
  <c r="AD15" i="1" s="1"/>
  <c r="AG15" i="1" s="1"/>
  <c r="AB122" i="1"/>
  <c r="AC122" i="1" s="1"/>
  <c r="AD122" i="1" s="1"/>
  <c r="AG122" i="1" s="1"/>
  <c r="AI210" i="1"/>
  <c r="AM210" i="1" s="1"/>
  <c r="BA210" i="1"/>
  <c r="BB210" i="1" s="1"/>
  <c r="AI190" i="1"/>
  <c r="AM190" i="1" s="1"/>
  <c r="BA190" i="1"/>
  <c r="BB190" i="1" s="1"/>
  <c r="AB125" i="1"/>
  <c r="AC125" i="1" s="1"/>
  <c r="AD125" i="1" s="1"/>
  <c r="AG125" i="1" s="1"/>
  <c r="AI125" i="1"/>
  <c r="AM125" i="1" s="1"/>
  <c r="BA125" i="1"/>
  <c r="BB125" i="1" s="1"/>
  <c r="AI83" i="1"/>
  <c r="AM83" i="1" s="1"/>
  <c r="BA83" i="1"/>
  <c r="BB83" i="1" s="1"/>
  <c r="AI34" i="1"/>
  <c r="AM34" i="1" s="1"/>
  <c r="BA34" i="1"/>
  <c r="BB34" i="1" s="1"/>
  <c r="AI84" i="1"/>
  <c r="AM84" i="1" s="1"/>
  <c r="BA84" i="1"/>
  <c r="BB84" i="1" s="1"/>
  <c r="AI221" i="1"/>
  <c r="AM221" i="1" s="1"/>
  <c r="BA221" i="1"/>
  <c r="BB221" i="1" s="1"/>
  <c r="AB29" i="1"/>
  <c r="AC29" i="1" s="1"/>
  <c r="AD29" i="1" s="1"/>
  <c r="AG29" i="1" s="1"/>
  <c r="AI129" i="1"/>
  <c r="AM129" i="1" s="1"/>
  <c r="BA129" i="1"/>
  <c r="BB129" i="1" s="1"/>
  <c r="BA227" i="1"/>
  <c r="BB227" i="1" s="1"/>
  <c r="AI108" i="1"/>
  <c r="AM108" i="1" s="1"/>
  <c r="BA108" i="1"/>
  <c r="BB108" i="1" s="1"/>
  <c r="AI115" i="1"/>
  <c r="AM115" i="1" s="1"/>
  <c r="BA115" i="1"/>
  <c r="BB115" i="1" s="1"/>
  <c r="AB67" i="1"/>
  <c r="AC67" i="1" s="1"/>
  <c r="AD67" i="1" s="1"/>
  <c r="AG67" i="1" s="1"/>
  <c r="AB40" i="1"/>
  <c r="AC40" i="1" s="1"/>
  <c r="AD40" i="1" s="1"/>
  <c r="AG40" i="1" s="1"/>
  <c r="AI58" i="1"/>
  <c r="AM58" i="1" s="1"/>
  <c r="BA58" i="1"/>
  <c r="BB58" i="1" s="1"/>
  <c r="AB35" i="1"/>
  <c r="AC35" i="1" s="1"/>
  <c r="AD35" i="1" s="1"/>
  <c r="AG35" i="1" s="1"/>
  <c r="AI298" i="1"/>
  <c r="AM298" i="1" s="1"/>
  <c r="BA298" i="1"/>
  <c r="BB298" i="1" s="1"/>
  <c r="AI168" i="1"/>
  <c r="AM168" i="1" s="1"/>
  <c r="BA168" i="1"/>
  <c r="BB168" i="1" s="1"/>
  <c r="AI207" i="1"/>
  <c r="AM207" i="1" s="1"/>
  <c r="BA207" i="1"/>
  <c r="BB207" i="1" s="1"/>
  <c r="AI241" i="1"/>
  <c r="AM241" i="1" s="1"/>
  <c r="BA241" i="1"/>
  <c r="BB241" i="1" s="1"/>
  <c r="AI51" i="1"/>
  <c r="AM51" i="1" s="1"/>
  <c r="BA51" i="1"/>
  <c r="BB51" i="1" s="1"/>
  <c r="AB23" i="1"/>
  <c r="AC23" i="1" s="1"/>
  <c r="AD23" i="1" s="1"/>
  <c r="AG23" i="1" s="1"/>
  <c r="AI23" i="1"/>
  <c r="AM23" i="1" s="1"/>
  <c r="BA23" i="1"/>
  <c r="BB23" i="1" s="1"/>
  <c r="AI132" i="1"/>
  <c r="AM132" i="1" s="1"/>
  <c r="BA132" i="1"/>
  <c r="BB132" i="1" s="1"/>
  <c r="AB147" i="1"/>
  <c r="AC147" i="1" s="1"/>
  <c r="AD147" i="1" s="1"/>
  <c r="AG147" i="1" s="1"/>
  <c r="AI205" i="1"/>
  <c r="AM205" i="1" s="1"/>
  <c r="BA205" i="1"/>
  <c r="BB205" i="1" s="1"/>
  <c r="AI291" i="1"/>
  <c r="AM291" i="1" s="1"/>
  <c r="BA291" i="1"/>
  <c r="BB291" i="1" s="1"/>
  <c r="AB185" i="1"/>
  <c r="AC185" i="1" s="1"/>
  <c r="AD185" i="1" s="1"/>
  <c r="AG185" i="1" s="1"/>
  <c r="AB71" i="1"/>
  <c r="AC71" i="1" s="1"/>
  <c r="AD71" i="1" s="1"/>
  <c r="AG71" i="1" s="1"/>
  <c r="AB100" i="1"/>
  <c r="AC100" i="1" s="1"/>
  <c r="AD100" i="1" s="1"/>
  <c r="AG100" i="1" s="1"/>
  <c r="AB62" i="1"/>
  <c r="AC62" i="1" s="1"/>
  <c r="AD62" i="1" s="1"/>
  <c r="AG62" i="1" s="1"/>
  <c r="BA10" i="1"/>
  <c r="BB10" i="1" s="1"/>
  <c r="AI53" i="1"/>
  <c r="AM53" i="1" s="1"/>
  <c r="BA53" i="1"/>
  <c r="BB53" i="1" s="1"/>
  <c r="AI25" i="1"/>
  <c r="AM25" i="1" s="1"/>
  <c r="BA25" i="1"/>
  <c r="BB25" i="1" s="1"/>
  <c r="AB285" i="1"/>
  <c r="AC285" i="1" s="1"/>
  <c r="AD285" i="1" s="1"/>
  <c r="AG285" i="1" s="1"/>
  <c r="AI287" i="1"/>
  <c r="AM287" i="1" s="1"/>
  <c r="BA287" i="1"/>
  <c r="BB287" i="1" s="1"/>
  <c r="AI78" i="1"/>
  <c r="AM78" i="1" s="1"/>
  <c r="BA78" i="1"/>
  <c r="BB78" i="1" s="1"/>
  <c r="BA164" i="1"/>
  <c r="BB164" i="1" s="1"/>
  <c r="AI192" i="1"/>
  <c r="AM192" i="1" s="1"/>
  <c r="BA192" i="1"/>
  <c r="BB192" i="1" s="1"/>
  <c r="AI182" i="1"/>
  <c r="AM182" i="1" s="1"/>
  <c r="BA182" i="1"/>
  <c r="BB182" i="1" s="1"/>
  <c r="AI110" i="1"/>
  <c r="AM110" i="1" s="1"/>
  <c r="BA110" i="1"/>
  <c r="BB110" i="1" s="1"/>
  <c r="AI93" i="1"/>
  <c r="AM93" i="1" s="1"/>
  <c r="BA93" i="1"/>
  <c r="BB93" i="1" s="1"/>
  <c r="AI48" i="1"/>
  <c r="AM48" i="1" s="1"/>
  <c r="BA48" i="1"/>
  <c r="BB48" i="1" s="1"/>
  <c r="BA96" i="1"/>
  <c r="BB96" i="1" s="1"/>
  <c r="AI47" i="1"/>
  <c r="AM47" i="1" s="1"/>
  <c r="BA47" i="1"/>
  <c r="BB47" i="1" s="1"/>
  <c r="AI7" i="1"/>
  <c r="AM7" i="1" s="1"/>
  <c r="BA7" i="1"/>
  <c r="BB7" i="1" s="1"/>
  <c r="AI257" i="1"/>
  <c r="AM257" i="1" s="1"/>
  <c r="BA257" i="1"/>
  <c r="BB257" i="1" s="1"/>
  <c r="AB268" i="1"/>
  <c r="AC268" i="1" s="1"/>
  <c r="AD268" i="1" s="1"/>
  <c r="AG268" i="1" s="1"/>
  <c r="AB300" i="1"/>
  <c r="AC300" i="1" s="1"/>
  <c r="AD300" i="1" s="1"/>
  <c r="AG300" i="1" s="1"/>
  <c r="AB225" i="1"/>
  <c r="AC225" i="1" s="1"/>
  <c r="AD225" i="1" s="1"/>
  <c r="AG225" i="1" s="1"/>
  <c r="AI130" i="1"/>
  <c r="AM130" i="1" s="1"/>
  <c r="BA130" i="1"/>
  <c r="BB130" i="1" s="1"/>
  <c r="AI260" i="1"/>
  <c r="AM260" i="1" s="1"/>
  <c r="BA260" i="1"/>
  <c r="BB260" i="1" s="1"/>
  <c r="AB191" i="1"/>
  <c r="AC191" i="1" s="1"/>
  <c r="AD191" i="1" s="1"/>
  <c r="AG191" i="1" s="1"/>
  <c r="AB169" i="1"/>
  <c r="AC169" i="1" s="1"/>
  <c r="AD169" i="1" s="1"/>
  <c r="AG169" i="1" s="1"/>
  <c r="AI89" i="1"/>
  <c r="AM89" i="1" s="1"/>
  <c r="BA89" i="1"/>
  <c r="BB89" i="1" s="1"/>
  <c r="AI59" i="1"/>
  <c r="AM59" i="1" s="1"/>
  <c r="BA59" i="1"/>
  <c r="BB59" i="1" s="1"/>
  <c r="AI14" i="1"/>
  <c r="AM14" i="1" s="1"/>
  <c r="BA14" i="1"/>
  <c r="BB14" i="1" s="1"/>
  <c r="AI9" i="1"/>
  <c r="AM9" i="1" s="1"/>
  <c r="BA9" i="1"/>
  <c r="BB9" i="1" s="1"/>
  <c r="AB301" i="1"/>
  <c r="AC301" i="1" s="1"/>
  <c r="AD301" i="1" s="1"/>
  <c r="AG301" i="1" s="1"/>
  <c r="AI250" i="1"/>
  <c r="AM250" i="1" s="1"/>
  <c r="BA250" i="1"/>
  <c r="BB250" i="1" s="1"/>
  <c r="AI282" i="1"/>
  <c r="AM282" i="1" s="1"/>
  <c r="BA282" i="1"/>
  <c r="BB282" i="1" s="1"/>
  <c r="AI196" i="1"/>
  <c r="AM196" i="1" s="1"/>
  <c r="BA196" i="1"/>
  <c r="BB196" i="1" s="1"/>
  <c r="AI171" i="1"/>
  <c r="AM171" i="1" s="1"/>
  <c r="BA171" i="1"/>
  <c r="BB171" i="1" s="1"/>
  <c r="AB72" i="1"/>
  <c r="AC72" i="1" s="1"/>
  <c r="AD72" i="1" s="1"/>
  <c r="AG72" i="1" s="1"/>
  <c r="AB88" i="1"/>
  <c r="AC88" i="1" s="1"/>
  <c r="AD88" i="1" s="1"/>
  <c r="AG88" i="1" s="1"/>
  <c r="AI137" i="1"/>
  <c r="AM137" i="1" s="1"/>
  <c r="BA137" i="1"/>
  <c r="BB137" i="1" s="1"/>
  <c r="AI170" i="1"/>
  <c r="AM170" i="1" s="1"/>
  <c r="BA170" i="1"/>
  <c r="BB170" i="1" s="1"/>
  <c r="AI259" i="1"/>
  <c r="AM259" i="1" s="1"/>
  <c r="BA259" i="1"/>
  <c r="BB259" i="1" s="1"/>
  <c r="AI263" i="1"/>
  <c r="AM263" i="1" s="1"/>
  <c r="BA263" i="1"/>
  <c r="BB263" i="1" s="1"/>
  <c r="AI112" i="1"/>
  <c r="AM112" i="1" s="1"/>
  <c r="BA112" i="1"/>
  <c r="BB112" i="1" s="1"/>
  <c r="AI70" i="1"/>
  <c r="AM70" i="1" s="1"/>
  <c r="BA70" i="1"/>
  <c r="BB70" i="1" s="1"/>
  <c r="AB174" i="1"/>
  <c r="AC174" i="1" s="1"/>
  <c r="AD174" i="1" s="1"/>
  <c r="AG174" i="1" s="1"/>
  <c r="AB293" i="1"/>
  <c r="AC293" i="1" s="1"/>
  <c r="AD293" i="1" s="1"/>
  <c r="AG293" i="1" s="1"/>
  <c r="BA293" i="1"/>
  <c r="BB293" i="1" s="1"/>
  <c r="AI293" i="1"/>
  <c r="AM293" i="1" s="1"/>
  <c r="AI269" i="1"/>
  <c r="AM269" i="1" s="1"/>
  <c r="BA269" i="1"/>
  <c r="BB269" i="1" s="1"/>
  <c r="AI302" i="1"/>
  <c r="AM302" i="1" s="1"/>
  <c r="BA302" i="1"/>
  <c r="BB302" i="1" s="1"/>
  <c r="AI244" i="1"/>
  <c r="AM244" i="1" s="1"/>
  <c r="BA244" i="1"/>
  <c r="BB244" i="1" s="1"/>
  <c r="AI213" i="1"/>
  <c r="AM213" i="1" s="1"/>
  <c r="BA213" i="1"/>
  <c r="BB213" i="1" s="1"/>
  <c r="AB157" i="1"/>
  <c r="AC157" i="1" s="1"/>
  <c r="AD157" i="1" s="1"/>
  <c r="AG157" i="1" s="1"/>
  <c r="AI152" i="1"/>
  <c r="AM152" i="1" s="1"/>
  <c r="BA152" i="1"/>
  <c r="BB152" i="1" s="1"/>
  <c r="AI219" i="1"/>
  <c r="AM219" i="1" s="1"/>
  <c r="BA219" i="1"/>
  <c r="BB219" i="1" s="1"/>
  <c r="BA195" i="1"/>
  <c r="BB195" i="1" s="1"/>
  <c r="AI111" i="1"/>
  <c r="AM111" i="1" s="1"/>
  <c r="BA111" i="1"/>
  <c r="BB111" i="1" s="1"/>
  <c r="AB77" i="1"/>
  <c r="AC77" i="1" s="1"/>
  <c r="AD77" i="1" s="1"/>
  <c r="AG77" i="1" s="1"/>
  <c r="AI95" i="1"/>
  <c r="AM95" i="1" s="1"/>
  <c r="BA95" i="1"/>
  <c r="BB95" i="1" s="1"/>
  <c r="AI46" i="1"/>
  <c r="AM46" i="1" s="1"/>
  <c r="BA46" i="1"/>
  <c r="BB46" i="1" s="1"/>
  <c r="AB248" i="1"/>
  <c r="AC248" i="1" s="1"/>
  <c r="AD248" i="1" s="1"/>
  <c r="AG248" i="1" s="1"/>
  <c r="BA131" i="1"/>
  <c r="BB131" i="1" s="1"/>
  <c r="BA198" i="1"/>
  <c r="BB198" i="1" s="1"/>
  <c r="AI303" i="1"/>
  <c r="AM303" i="1" s="1"/>
  <c r="BA303" i="1"/>
  <c r="BB303" i="1" s="1"/>
  <c r="AI189" i="1"/>
  <c r="AM189" i="1" s="1"/>
  <c r="BA189" i="1"/>
  <c r="BB189" i="1" s="1"/>
  <c r="AI31" i="1"/>
  <c r="AM31" i="1" s="1"/>
  <c r="BA31" i="1"/>
  <c r="BB31" i="1" s="1"/>
  <c r="AI163" i="1"/>
  <c r="AM163" i="1" s="1"/>
  <c r="BA163" i="1"/>
  <c r="BB163" i="1" s="1"/>
  <c r="AB180" i="1"/>
  <c r="AC180" i="1" s="1"/>
  <c r="AD180" i="1" s="1"/>
  <c r="AG180" i="1" s="1"/>
  <c r="AI101" i="1"/>
  <c r="AM101" i="1" s="1"/>
  <c r="BA101" i="1"/>
  <c r="BB101" i="1" s="1"/>
  <c r="AI138" i="1"/>
  <c r="AM138" i="1" s="1"/>
  <c r="BA138" i="1"/>
  <c r="BB138" i="1" s="1"/>
  <c r="BA204" i="1"/>
  <c r="BB204" i="1" s="1"/>
  <c r="AI204" i="1"/>
  <c r="AM204" i="1" s="1"/>
  <c r="AI208" i="1"/>
  <c r="AM208" i="1" s="1"/>
  <c r="BA208" i="1"/>
  <c r="BB208" i="1" s="1"/>
  <c r="AB190" i="1"/>
  <c r="AC190" i="1" s="1"/>
  <c r="AD190" i="1" s="1"/>
  <c r="AG190" i="1" s="1"/>
  <c r="AI85" i="1"/>
  <c r="AM85" i="1" s="1"/>
  <c r="BA85" i="1"/>
  <c r="BB85" i="1" s="1"/>
  <c r="AI98" i="1"/>
  <c r="AM98" i="1" s="1"/>
  <c r="BA98" i="1"/>
  <c r="BB98" i="1" s="1"/>
  <c r="AB83" i="1"/>
  <c r="AC83" i="1" s="1"/>
  <c r="AD83" i="1" s="1"/>
  <c r="AG83" i="1" s="1"/>
  <c r="AB34" i="1"/>
  <c r="AC34" i="1" s="1"/>
  <c r="AD34" i="1" s="1"/>
  <c r="AG34" i="1" s="1"/>
  <c r="AI26" i="1"/>
  <c r="AM26" i="1" s="1"/>
  <c r="BA26" i="1"/>
  <c r="BB26" i="1" s="1"/>
  <c r="AI21" i="1"/>
  <c r="AM21" i="1" s="1"/>
  <c r="BA21" i="1"/>
  <c r="BB21" i="1" s="1"/>
  <c r="AI57" i="1"/>
  <c r="AM57" i="1" s="1"/>
  <c r="BA57" i="1"/>
  <c r="BB57" i="1" s="1"/>
  <c r="AB305" i="1"/>
  <c r="AC305" i="1" s="1"/>
  <c r="AD305" i="1" s="1"/>
  <c r="AG305" i="1" s="1"/>
  <c r="AB289" i="1"/>
  <c r="AC289" i="1" s="1"/>
  <c r="AD289" i="1" s="1"/>
  <c r="AG289" i="1" s="1"/>
  <c r="AI251" i="1"/>
  <c r="AM251" i="1" s="1"/>
  <c r="BA251" i="1"/>
  <c r="BB251" i="1" s="1"/>
  <c r="BA230" i="1"/>
  <c r="BB230" i="1" s="1"/>
  <c r="AB177" i="1"/>
  <c r="AC177" i="1" s="1"/>
  <c r="AD177" i="1" s="1"/>
  <c r="AG177" i="1" s="1"/>
  <c r="AB94" i="1"/>
  <c r="AC94" i="1" s="1"/>
  <c r="AD94" i="1" s="1"/>
  <c r="AG94" i="1" s="1"/>
  <c r="AI97" i="1"/>
  <c r="AM97" i="1" s="1"/>
  <c r="BA97" i="1"/>
  <c r="BB97" i="1" s="1"/>
  <c r="AB295" i="1"/>
  <c r="AC295" i="1" s="1"/>
  <c r="AD295" i="1" s="1"/>
  <c r="AG295" i="1" s="1"/>
  <c r="AI245" i="1"/>
  <c r="AM245" i="1" s="1"/>
  <c r="BA245" i="1"/>
  <c r="BB245" i="1" s="1"/>
  <c r="AB227" i="1"/>
  <c r="AC227" i="1" s="1"/>
  <c r="AD227" i="1" s="1"/>
  <c r="AG227" i="1" s="1"/>
  <c r="AB183" i="1"/>
  <c r="AC183" i="1" s="1"/>
  <c r="AD183" i="1" s="1"/>
  <c r="AG183" i="1" s="1"/>
  <c r="AI194" i="1"/>
  <c r="AM194" i="1" s="1"/>
  <c r="BA194" i="1"/>
  <c r="BB194" i="1" s="1"/>
  <c r="AB115" i="1"/>
  <c r="AC115" i="1" s="1"/>
  <c r="AD115" i="1" s="1"/>
  <c r="AG115" i="1" s="1"/>
  <c r="AI114" i="1"/>
  <c r="AM114" i="1" s="1"/>
  <c r="BA114" i="1"/>
  <c r="BB114" i="1" s="1"/>
  <c r="BA12" i="1"/>
  <c r="BB12" i="1" s="1"/>
  <c r="AI28" i="1"/>
  <c r="AM28" i="1" s="1"/>
  <c r="BA28" i="1"/>
  <c r="BB28" i="1" s="1"/>
  <c r="AI92" i="1"/>
  <c r="AM92" i="1" s="1"/>
  <c r="BA92" i="1"/>
  <c r="BB92" i="1" s="1"/>
  <c r="AI270" i="1"/>
  <c r="AM270" i="1" s="1"/>
  <c r="BA270" i="1"/>
  <c r="BB270" i="1" s="1"/>
  <c r="AB298" i="1"/>
  <c r="AC298" i="1" s="1"/>
  <c r="AD298" i="1" s="1"/>
  <c r="AG298" i="1" s="1"/>
  <c r="AB168" i="1"/>
  <c r="AC168" i="1" s="1"/>
  <c r="AD168" i="1" s="1"/>
  <c r="AG168" i="1" s="1"/>
  <c r="AI239" i="1"/>
  <c r="AM239" i="1" s="1"/>
  <c r="BA239" i="1"/>
  <c r="BB239" i="1" s="1"/>
  <c r="AB241" i="1"/>
  <c r="AC241" i="1" s="1"/>
  <c r="AD241" i="1" s="1"/>
  <c r="AG241" i="1" s="1"/>
  <c r="AI193" i="1"/>
  <c r="AM193" i="1" s="1"/>
  <c r="BA193" i="1"/>
  <c r="BB193" i="1" s="1"/>
  <c r="AB51" i="1"/>
  <c r="AC51" i="1" s="1"/>
  <c r="AD51" i="1" s="1"/>
  <c r="AG51" i="1" s="1"/>
  <c r="AB120" i="1"/>
  <c r="AC120" i="1" s="1"/>
  <c r="AD120" i="1" s="1"/>
  <c r="AG120" i="1" s="1"/>
  <c r="AB156" i="1"/>
  <c r="AC156" i="1" s="1"/>
  <c r="AD156" i="1" s="1"/>
  <c r="AG156" i="1" s="1"/>
  <c r="BA161" i="1"/>
  <c r="BB161" i="1" s="1"/>
  <c r="AI161" i="1"/>
  <c r="AM161" i="1" s="1"/>
  <c r="AB291" i="1"/>
  <c r="AC291" i="1" s="1"/>
  <c r="AD291" i="1" s="1"/>
  <c r="AG291" i="1" s="1"/>
  <c r="AB255" i="1"/>
  <c r="AC255" i="1" s="1"/>
  <c r="AD255" i="1" s="1"/>
  <c r="AG255" i="1" s="1"/>
  <c r="AI237" i="1"/>
  <c r="AM237" i="1" s="1"/>
  <c r="BA237" i="1"/>
  <c r="BB237" i="1" s="1"/>
  <c r="BA178" i="1"/>
  <c r="BB178" i="1" s="1"/>
  <c r="AB203" i="1"/>
  <c r="AC203" i="1" s="1"/>
  <c r="AD203" i="1" s="1"/>
  <c r="AG203" i="1" s="1"/>
  <c r="AI73" i="1"/>
  <c r="AM73" i="1" s="1"/>
  <c r="BA73" i="1"/>
  <c r="BB73" i="1" s="1"/>
  <c r="AI38" i="1"/>
  <c r="AM38" i="1" s="1"/>
  <c r="BA38" i="1"/>
  <c r="BB38" i="1" s="1"/>
  <c r="AI299" i="1"/>
  <c r="AM299" i="1" s="1"/>
  <c r="BA299" i="1"/>
  <c r="BB299" i="1" s="1"/>
  <c r="AB266" i="1"/>
  <c r="AC266" i="1" s="1"/>
  <c r="AD266" i="1" s="1"/>
  <c r="AG266" i="1" s="1"/>
  <c r="BA249" i="1"/>
  <c r="BB249" i="1" s="1"/>
  <c r="AI246" i="1"/>
  <c r="AM246" i="1" s="1"/>
  <c r="BA246" i="1"/>
  <c r="BB246" i="1" s="1"/>
  <c r="AI234" i="1"/>
  <c r="AM234" i="1" s="1"/>
  <c r="BA234" i="1"/>
  <c r="BB234" i="1" s="1"/>
  <c r="AI188" i="1"/>
  <c r="AM188" i="1" s="1"/>
  <c r="BA188" i="1"/>
  <c r="BB188" i="1" s="1"/>
  <c r="AI49" i="1"/>
  <c r="AM49" i="1" s="1"/>
  <c r="BA49" i="1"/>
  <c r="BB49" i="1" s="1"/>
  <c r="AI33" i="1"/>
  <c r="AM33" i="1" s="1"/>
  <c r="BA33" i="1"/>
  <c r="BB33" i="1" s="1"/>
  <c r="AI135" i="1"/>
  <c r="AM135" i="1" s="1"/>
  <c r="BA135" i="1"/>
  <c r="BB135" i="1" s="1"/>
  <c r="AI158" i="1"/>
  <c r="AM158" i="1" s="1"/>
  <c r="BA158" i="1"/>
  <c r="BB158" i="1" s="1"/>
  <c r="BA292" i="1"/>
  <c r="BB292" i="1" s="1"/>
  <c r="AI292" i="1"/>
  <c r="AM292" i="1" s="1"/>
  <c r="BA65" i="1"/>
  <c r="BB65" i="1" s="1"/>
  <c r="AI75" i="1"/>
  <c r="AM75" i="1" s="1"/>
  <c r="BA75" i="1"/>
  <c r="BB75" i="1" s="1"/>
  <c r="AI16" i="1"/>
  <c r="AM16" i="1" s="1"/>
  <c r="BA16" i="1"/>
  <c r="BB16" i="1" s="1"/>
  <c r="AI86" i="1"/>
  <c r="AM86" i="1" s="1"/>
  <c r="BA86" i="1"/>
  <c r="BB86" i="1" s="1"/>
  <c r="AI32" i="1"/>
  <c r="AM32" i="1" s="1"/>
  <c r="BA32" i="1"/>
  <c r="BB32" i="1" s="1"/>
  <c r="AI150" i="1"/>
  <c r="AM150" i="1" s="1"/>
  <c r="BA150" i="1"/>
  <c r="BB150" i="1" s="1"/>
  <c r="AI197" i="1"/>
  <c r="AM197" i="1" s="1"/>
  <c r="BA197" i="1"/>
  <c r="BB197" i="1" s="1"/>
  <c r="AI268" i="1"/>
  <c r="AM268" i="1" s="1"/>
  <c r="BA268" i="1"/>
  <c r="BB268" i="1" s="1"/>
  <c r="AI243" i="1"/>
  <c r="AM243" i="1" s="1"/>
  <c r="BA243" i="1"/>
  <c r="BB243" i="1" s="1"/>
  <c r="AI212" i="1"/>
  <c r="AM212" i="1" s="1"/>
  <c r="BA212" i="1"/>
  <c r="BB212" i="1" s="1"/>
  <c r="AI118" i="1"/>
  <c r="AM118" i="1" s="1"/>
  <c r="BA118" i="1"/>
  <c r="BB118" i="1" s="1"/>
  <c r="AB142" i="1"/>
  <c r="AC142" i="1" s="1"/>
  <c r="AD142" i="1" s="1"/>
  <c r="AG142" i="1" s="1"/>
  <c r="AI154" i="1"/>
  <c r="AM154" i="1" s="1"/>
  <c r="BA154" i="1"/>
  <c r="BB154" i="1" s="1"/>
  <c r="AI109" i="1"/>
  <c r="AM109" i="1" s="1"/>
  <c r="BA109" i="1"/>
  <c r="BB109" i="1" s="1"/>
  <c r="AI104" i="1"/>
  <c r="AM104" i="1" s="1"/>
  <c r="BA104" i="1"/>
  <c r="BB104" i="1" s="1"/>
  <c r="AI18" i="1"/>
  <c r="AM18" i="1" s="1"/>
  <c r="BA18" i="1"/>
  <c r="BB18" i="1" s="1"/>
  <c r="AI277" i="1"/>
  <c r="AM277" i="1" s="1"/>
  <c r="BA277" i="1"/>
  <c r="BB277" i="1" s="1"/>
  <c r="AI256" i="1"/>
  <c r="AM256" i="1" s="1"/>
  <c r="BA256" i="1"/>
  <c r="BB256" i="1" s="1"/>
  <c r="AB171" i="1"/>
  <c r="AC171" i="1" s="1"/>
  <c r="AD171" i="1" s="1"/>
  <c r="AG171" i="1" s="1"/>
  <c r="AI105" i="1"/>
  <c r="AM105" i="1" s="1"/>
  <c r="BA105" i="1"/>
  <c r="BB105" i="1" s="1"/>
  <c r="AI145" i="1"/>
  <c r="AM145" i="1" s="1"/>
  <c r="BA145" i="1"/>
  <c r="BB145" i="1" s="1"/>
  <c r="AI81" i="1"/>
  <c r="AM81" i="1" s="1"/>
  <c r="BA81" i="1"/>
  <c r="BB81" i="1" s="1"/>
  <c r="AB91" i="1"/>
  <c r="AC91" i="1" s="1"/>
  <c r="AD91" i="1" s="1"/>
  <c r="AG91" i="1" s="1"/>
  <c r="AI286" i="1"/>
  <c r="AM286" i="1" s="1"/>
  <c r="BA286" i="1"/>
  <c r="BB286" i="1" s="1"/>
  <c r="AB278" i="1"/>
  <c r="AC278" i="1" s="1"/>
  <c r="AD278" i="1" s="1"/>
  <c r="AG278" i="1" s="1"/>
  <c r="AB269" i="1"/>
  <c r="AC269" i="1" s="1"/>
  <c r="AD269" i="1" s="1"/>
  <c r="AG269" i="1" s="1"/>
  <c r="AB213" i="1"/>
  <c r="AC213" i="1" s="1"/>
  <c r="AD213" i="1" s="1"/>
  <c r="AG213" i="1" s="1"/>
  <c r="AI262" i="1"/>
  <c r="AM262" i="1" s="1"/>
  <c r="BA262" i="1"/>
  <c r="BB262" i="1" s="1"/>
  <c r="AI157" i="1"/>
  <c r="AM157" i="1" s="1"/>
  <c r="BA157" i="1"/>
  <c r="BB157" i="1" s="1"/>
  <c r="AI140" i="1"/>
  <c r="AM140" i="1" s="1"/>
  <c r="BA140" i="1"/>
  <c r="BB140" i="1" s="1"/>
  <c r="AB216" i="1"/>
  <c r="AC216" i="1" s="1"/>
  <c r="AD216" i="1" s="1"/>
  <c r="AG216" i="1" s="1"/>
  <c r="AB223" i="1"/>
  <c r="AC223" i="1" s="1"/>
  <c r="AD223" i="1" s="1"/>
  <c r="AG223" i="1" s="1"/>
  <c r="AI123" i="1"/>
  <c r="AM123" i="1" s="1"/>
  <c r="BA123" i="1"/>
  <c r="BB123" i="1" s="1"/>
  <c r="AI90" i="1"/>
  <c r="AM90" i="1" s="1"/>
  <c r="BA90" i="1"/>
  <c r="BB90" i="1" s="1"/>
  <c r="AI50" i="1"/>
  <c r="AM50" i="1" s="1"/>
  <c r="BA50" i="1"/>
  <c r="BB50" i="1" s="1"/>
  <c r="AI254" i="1"/>
  <c r="AM254" i="1" s="1"/>
  <c r="BA254" i="1"/>
  <c r="BB254" i="1" s="1"/>
  <c r="BA233" i="1"/>
  <c r="BB233" i="1" s="1"/>
  <c r="AI184" i="1"/>
  <c r="AM184" i="1" s="1"/>
  <c r="BA184" i="1"/>
  <c r="BB184" i="1" s="1"/>
  <c r="AI119" i="1"/>
  <c r="AM119" i="1" s="1"/>
  <c r="BA119" i="1"/>
  <c r="BB119" i="1" s="1"/>
  <c r="AB189" i="1"/>
  <c r="AC189" i="1" s="1"/>
  <c r="AD189" i="1" s="1"/>
  <c r="AG189" i="1" s="1"/>
  <c r="AI126" i="1"/>
  <c r="AM126" i="1" s="1"/>
  <c r="BA126" i="1"/>
  <c r="BB126" i="1" s="1"/>
  <c r="AI69" i="1"/>
  <c r="AM69" i="1" s="1"/>
  <c r="BA69" i="1"/>
  <c r="BB69" i="1" s="1"/>
  <c r="AI64" i="1"/>
  <c r="AM64" i="1" s="1"/>
  <c r="BA64" i="1"/>
  <c r="BB64" i="1" s="1"/>
  <c r="BA24" i="1"/>
  <c r="BB24" i="1" s="1"/>
  <c r="AB74" i="1"/>
  <c r="AC74" i="1" s="1"/>
  <c r="AD74" i="1" s="1"/>
  <c r="AG74" i="1" s="1"/>
  <c r="AI284" i="1"/>
  <c r="AM284" i="1" s="1"/>
  <c r="BA284" i="1"/>
  <c r="BB284" i="1" s="1"/>
  <c r="AB296" i="1"/>
  <c r="AC296" i="1" s="1"/>
  <c r="AD296" i="1" s="1"/>
  <c r="AG296" i="1" s="1"/>
  <c r="BA165" i="1"/>
  <c r="BB165" i="1" s="1"/>
  <c r="AI281" i="1"/>
  <c r="AM281" i="1" s="1"/>
  <c r="BA281" i="1"/>
  <c r="BB281" i="1" s="1"/>
  <c r="AB218" i="1"/>
  <c r="AC218" i="1" s="1"/>
  <c r="AD218" i="1" s="1"/>
  <c r="AG218" i="1" s="1"/>
  <c r="AI218" i="1"/>
  <c r="AM218" i="1" s="1"/>
  <c r="BA218" i="1"/>
  <c r="BB218" i="1" s="1"/>
  <c r="AI19" i="1"/>
  <c r="AM19" i="1" s="1"/>
  <c r="BA19" i="1"/>
  <c r="BB19" i="1" s="1"/>
  <c r="AI15" i="1"/>
  <c r="AM15" i="1" s="1"/>
  <c r="BA15" i="1"/>
  <c r="BB15" i="1" s="1"/>
  <c r="AB101" i="1"/>
  <c r="AC101" i="1" s="1"/>
  <c r="AD101" i="1" s="1"/>
  <c r="AG101" i="1" s="1"/>
  <c r="AI134" i="1"/>
  <c r="AM134" i="1" s="1"/>
  <c r="BA134" i="1"/>
  <c r="BB134" i="1" s="1"/>
  <c r="AI146" i="1"/>
  <c r="AM146" i="1" s="1"/>
  <c r="BA146" i="1"/>
  <c r="BB146" i="1" s="1"/>
  <c r="AI199" i="1"/>
  <c r="AM199" i="1" s="1"/>
  <c r="BA199" i="1"/>
  <c r="BB199" i="1" s="1"/>
  <c r="AI113" i="1"/>
  <c r="AM113" i="1" s="1"/>
  <c r="BA113" i="1"/>
  <c r="BB113" i="1" s="1"/>
  <c r="BA54" i="1"/>
  <c r="BB54" i="1" s="1"/>
  <c r="AB57" i="1"/>
  <c r="AC57" i="1" s="1"/>
  <c r="AD57" i="1" s="1"/>
  <c r="AG57" i="1" s="1"/>
  <c r="AI265" i="1"/>
  <c r="AM265" i="1" s="1"/>
  <c r="BA265" i="1"/>
  <c r="BB265" i="1" s="1"/>
  <c r="AI173" i="1"/>
  <c r="AM173" i="1" s="1"/>
  <c r="BA173" i="1"/>
  <c r="BB173" i="1" s="1"/>
  <c r="AI117" i="1"/>
  <c r="AM117" i="1" s="1"/>
  <c r="BA117" i="1"/>
  <c r="BB117" i="1" s="1"/>
  <c r="AI162" i="1"/>
  <c r="AM162" i="1" s="1"/>
  <c r="BA162" i="1"/>
  <c r="BB162" i="1" s="1"/>
  <c r="AI273" i="1"/>
  <c r="AM273" i="1" s="1"/>
  <c r="BA273" i="1"/>
  <c r="BB273" i="1" s="1"/>
  <c r="AI283" i="1"/>
  <c r="AM283" i="1" s="1"/>
  <c r="BA283" i="1"/>
  <c r="BB283" i="1" s="1"/>
  <c r="AI179" i="1"/>
  <c r="AM179" i="1" s="1"/>
  <c r="BA179" i="1"/>
  <c r="BB179" i="1" s="1"/>
  <c r="AB108" i="1"/>
  <c r="AC108" i="1" s="1"/>
  <c r="AD108" i="1" s="1"/>
  <c r="AG108" i="1" s="1"/>
  <c r="AI102" i="1"/>
  <c r="AM102" i="1" s="1"/>
  <c r="BA102" i="1"/>
  <c r="BB102" i="1" s="1"/>
  <c r="AI40" i="1"/>
  <c r="AM40" i="1" s="1"/>
  <c r="BA40" i="1"/>
  <c r="BB40" i="1" s="1"/>
  <c r="AI82" i="1"/>
  <c r="AM82" i="1" s="1"/>
  <c r="BA82" i="1"/>
  <c r="BB82" i="1" s="1"/>
  <c r="BA201" i="1"/>
  <c r="BB201" i="1" s="1"/>
  <c r="AI201" i="1"/>
  <c r="AM201" i="1" s="1"/>
  <c r="AI306" i="1"/>
  <c r="AM306" i="1" s="1"/>
  <c r="BA306" i="1"/>
  <c r="BB306" i="1" s="1"/>
  <c r="AI252" i="1"/>
  <c r="AM252" i="1" s="1"/>
  <c r="BA252" i="1"/>
  <c r="BB252" i="1" s="1"/>
  <c r="AI120" i="1"/>
  <c r="AM120" i="1" s="1"/>
  <c r="BA120" i="1"/>
  <c r="BB120" i="1" s="1"/>
  <c r="AI156" i="1"/>
  <c r="AM156" i="1" s="1"/>
  <c r="BA156" i="1"/>
  <c r="BB156" i="1" s="1"/>
  <c r="AI147" i="1"/>
  <c r="AM147" i="1" s="1"/>
  <c r="BA147" i="1"/>
  <c r="BB147" i="1" s="1"/>
  <c r="AB237" i="1"/>
  <c r="AC237" i="1" s="1"/>
  <c r="AD237" i="1" s="1"/>
  <c r="AG237" i="1" s="1"/>
  <c r="AI107" i="1"/>
  <c r="AM107" i="1" s="1"/>
  <c r="BA107" i="1"/>
  <c r="BB107" i="1" s="1"/>
  <c r="AI68" i="1"/>
  <c r="AM68" i="1" s="1"/>
  <c r="BA68" i="1"/>
  <c r="BB68" i="1" s="1"/>
  <c r="AI172" i="1"/>
  <c r="AM172" i="1" s="1"/>
  <c r="BA172" i="1"/>
  <c r="BB172" i="1" s="1"/>
  <c r="Q16" i="7" a="1"/>
  <c r="Q16" i="7" s="1"/>
  <c r="AE16" i="7" a="1"/>
  <c r="AE16" i="7" s="1"/>
  <c r="Y16" i="7" a="1"/>
  <c r="Y16" i="7" s="1"/>
  <c r="U16" i="7" a="1"/>
  <c r="U16" i="7" s="1"/>
  <c r="J16" i="7" a="1"/>
  <c r="J16" i="7" s="1"/>
  <c r="AI16" i="7" a="1"/>
  <c r="AI16" i="7" s="1"/>
  <c r="W16" i="7" a="1"/>
  <c r="W16" i="7" s="1"/>
  <c r="AB16" i="7" a="1"/>
  <c r="AB16" i="7" s="1"/>
  <c r="R16" i="7" a="1"/>
  <c r="R16" i="7" s="1"/>
  <c r="G16" i="7" a="1"/>
  <c r="G16" i="7" s="1"/>
  <c r="AD16" i="7" a="1"/>
  <c r="AD16" i="7" s="1"/>
  <c r="AG16" i="7" l="1" a="1"/>
  <c r="AG16" i="7" s="1"/>
  <c r="K16" i="7" a="1"/>
  <c r="K16" i="7" s="1"/>
  <c r="I16" i="7" a="1"/>
  <c r="I16" i="7" s="1"/>
  <c r="N16" i="7" a="1"/>
  <c r="N16" i="7" s="1"/>
  <c r="X16" i="7" a="1"/>
  <c r="X16" i="7" s="1"/>
  <c r="Z16" i="7" a="1"/>
  <c r="Z16" i="7" s="1"/>
  <c r="AA16" i="7" a="1"/>
  <c r="AA16" i="7" s="1"/>
  <c r="AF16" i="7" a="1"/>
  <c r="AF16" i="7" s="1"/>
  <c r="L16" i="7" a="1"/>
  <c r="L16" i="7" s="1"/>
  <c r="P16" i="7" a="1"/>
  <c r="P16" i="7" s="1"/>
  <c r="AH16" i="7" a="1"/>
  <c r="AH16" i="7" s="1"/>
  <c r="T16" i="7" a="1"/>
  <c r="T16" i="7" s="1"/>
  <c r="M16" i="7" a="1"/>
  <c r="M16" i="7" s="1"/>
  <c r="S16" i="7" a="1"/>
  <c r="S16" i="7" s="1"/>
  <c r="AR17" i="7"/>
  <c r="O16" i="7" a="1"/>
  <c r="O16" i="7" s="1"/>
  <c r="H16" i="7" l="1" a="1"/>
  <c r="H16" i="7" s="1"/>
  <c r="AU17" i="7"/>
  <c r="AC16" i="7" a="1"/>
  <c r="AC16" i="7" s="1"/>
  <c r="V16" i="7" a="1"/>
  <c r="V16" i="7" s="1"/>
  <c r="AR16" i="7"/>
  <c r="AU20" i="7"/>
  <c r="BA20" i="7" l="1"/>
  <c r="BB20" i="7" s="1"/>
  <c r="BA24" i="7"/>
  <c r="BB24" i="7" s="1"/>
  <c r="BA19" i="7"/>
  <c r="BB19" i="7" s="1"/>
  <c r="BA22" i="7"/>
  <c r="BB22" i="7" s="1"/>
  <c r="BA25" i="7"/>
  <c r="BB25" i="7" s="1"/>
  <c r="BA17" i="7"/>
  <c r="BB17" i="7" s="1"/>
  <c r="BA21" i="7"/>
  <c r="BB21" i="7" s="1"/>
  <c r="BA18" i="7"/>
  <c r="BB18" i="7" s="1"/>
  <c r="AQ22" i="7"/>
  <c r="AW22" i="7" s="1"/>
  <c r="AU22" i="7"/>
  <c r="AU25" i="7"/>
  <c r="AU18" i="7"/>
  <c r="AU19" i="7"/>
  <c r="AQ20" i="7"/>
  <c r="AW20" i="7" s="1"/>
  <c r="AU21" i="7"/>
  <c r="BA23" i="7"/>
  <c r="BB23" i="7" s="1"/>
  <c r="AQ21" i="7"/>
  <c r="AW21" i="7" s="1"/>
  <c r="AQ24" i="7"/>
  <c r="AW24" i="7" s="1"/>
  <c r="AQ18" i="7"/>
  <c r="AW18" i="7" s="1"/>
  <c r="AQ19" i="7"/>
  <c r="AW19" i="7" s="1"/>
  <c r="AU24" i="7"/>
  <c r="AQ17" i="7"/>
  <c r="AW17" i="7" s="1"/>
  <c r="AU23" i="7"/>
  <c r="AQ25" i="7"/>
  <c r="AW25" i="7" s="1"/>
  <c r="AQ23" i="7"/>
  <c r="AW23" i="7" s="1"/>
  <c r="AX21" i="7" l="1"/>
  <c r="AX22" i="7"/>
  <c r="AX24" i="7"/>
  <c r="AX18" i="7"/>
  <c r="AX20" i="7"/>
  <c r="AX17" i="7"/>
  <c r="AX23" i="7"/>
  <c r="AX25" i="7"/>
  <c r="AX19" i="7"/>
  <c r="AR4" i="1"/>
  <c r="AR13" i="7" l="1"/>
  <c r="AA4" i="1"/>
  <c r="AT4" i="1" l="1"/>
  <c r="F16" i="7" a="1"/>
  <c r="F16" i="7" s="1"/>
  <c r="AO16" i="7" s="1"/>
  <c r="AB4" i="1"/>
  <c r="BA16" i="7"/>
  <c r="Z4" i="1"/>
  <c r="BB16" i="7" l="1"/>
  <c r="BB13" i="7" s="1"/>
  <c r="BA13" i="7"/>
  <c r="AE4" i="1"/>
  <c r="AF4" i="1"/>
  <c r="AU16" i="7"/>
  <c r="AU13" i="7" s="1"/>
  <c r="AQ4" i="1"/>
  <c r="AS4" i="1"/>
  <c r="AP4" i="1"/>
  <c r="AQ16" i="7"/>
  <c r="AC4" i="1"/>
  <c r="AQ13" i="7" l="1"/>
  <c r="AW16" i="7"/>
  <c r="AW13" i="7" s="1"/>
  <c r="AS13" i="7"/>
  <c r="AX16" i="7"/>
  <c r="AX13" i="7" s="1"/>
  <c r="AD4" i="1"/>
  <c r="A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Tú Đàm</author>
  </authors>
  <commentList>
    <comment ref="S5" authorId="0" shapeId="0" xr:uid="{B2DEF4BF-3F48-456C-98D5-FDB631112606}">
      <text>
        <r>
          <rPr>
            <b/>
            <sz val="9"/>
            <color indexed="81"/>
            <rFont val="Tahoma"/>
            <family val="2"/>
          </rPr>
          <t>Tú Đàm:</t>
        </r>
        <r>
          <rPr>
            <sz val="9"/>
            <color indexed="81"/>
            <rFont val="Tahoma"/>
            <family val="2"/>
          </rPr>
          <t xml:space="preserve">
Nếu xuất hiện 2 giờ vào thì phải kiểm tra lại. Có thể rơi vào trường hợp nhân viên làm hết buổi sáng xong nghỉ buổi chiều nhưng lại chấm công ra vào "Giờ vào buổi chiều"</t>
        </r>
      </text>
    </comment>
  </commentList>
</comments>
</file>

<file path=xl/sharedStrings.xml><?xml version="1.0" encoding="utf-8"?>
<sst xmlns="http://schemas.openxmlformats.org/spreadsheetml/2006/main" count="4431" uniqueCount="364">
  <si>
    <t/>
  </si>
  <si>
    <t>MNV</t>
  </si>
  <si>
    <t>Họ và tên</t>
  </si>
  <si>
    <t>Ngày</t>
  </si>
  <si>
    <t>NV101</t>
  </si>
  <si>
    <t>NV107</t>
  </si>
  <si>
    <t>NV108</t>
  </si>
  <si>
    <t>NV109</t>
  </si>
  <si>
    <t>NV113</t>
  </si>
  <si>
    <t>NV114</t>
  </si>
  <si>
    <t>NV118</t>
  </si>
  <si>
    <t>NV122</t>
  </si>
  <si>
    <t>NV123</t>
  </si>
  <si>
    <t>NV126</t>
  </si>
  <si>
    <t>Nguyễn Thị Hà</t>
  </si>
  <si>
    <t>Nguyễn Phượng Anh</t>
  </si>
  <si>
    <t>Phạm Thị Hương</t>
  </si>
  <si>
    <t>Trần Lê Quỳnh Trang</t>
  </si>
  <si>
    <t>Lê Thị Phương</t>
  </si>
  <si>
    <t>Hà Hồng Điệp</t>
  </si>
  <si>
    <t>Chu Thị Kiều</t>
  </si>
  <si>
    <t>Nguyễn Thị Dung</t>
  </si>
  <si>
    <t>Đỗ Thanh Huyền</t>
  </si>
  <si>
    <t>Phạm Thị Loan</t>
  </si>
  <si>
    <t>Phạm Thị Yến Anh</t>
  </si>
  <si>
    <t>Nguyễn Thu Hường</t>
  </si>
  <si>
    <t>Phạm Hoàng Lan</t>
  </si>
  <si>
    <t>STT</t>
  </si>
  <si>
    <t>Phạm Tiến Đạt</t>
  </si>
  <si>
    <t>Phòng Marketing</t>
  </si>
  <si>
    <t>Nhân viên Care</t>
  </si>
  <si>
    <t>Nguyễn Thị Ngọc Hân</t>
  </si>
  <si>
    <t>Mã nhân viên</t>
  </si>
  <si>
    <t>Họ và đệm</t>
  </si>
  <si>
    <t>Thời gian check</t>
  </si>
  <si>
    <t>In/Out</t>
  </si>
  <si>
    <t>101</t>
  </si>
  <si>
    <t>Ra</t>
  </si>
  <si>
    <t>107</t>
  </si>
  <si>
    <t>Vào</t>
  </si>
  <si>
    <t>108</t>
  </si>
  <si>
    <t>109</t>
  </si>
  <si>
    <t>113</t>
  </si>
  <si>
    <t>114</t>
  </si>
  <si>
    <t>118</t>
  </si>
  <si>
    <t>122</t>
  </si>
  <si>
    <t>123</t>
  </si>
  <si>
    <t>126</t>
  </si>
  <si>
    <t>Ký hiệu công</t>
  </si>
  <si>
    <t>Giờ</t>
  </si>
  <si>
    <t>DANH SÁCH ĐĂNG KÝ ĐI MUỘN VỀ SỚM</t>
  </si>
  <si>
    <t>Lý do đăng ký</t>
  </si>
  <si>
    <t>Người duyệt</t>
  </si>
  <si>
    <t>chị xin nghỉ sớm có việc gia đình</t>
  </si>
  <si>
    <t>E xin về sớm 1 tiếng có chút vc riêng ạ, chị duyệt giúp e. Xin cảm ơn.</t>
  </si>
  <si>
    <t>Em cho c xin về sớm do về quê</t>
  </si>
  <si>
    <t>em xin nghỉ sớm 1 tiếng ạ</t>
  </si>
  <si>
    <t>có việc các nhân không ở hà Nội, không về kịp</t>
  </si>
  <si>
    <t>đi muộn do tắc đường</t>
  </si>
  <si>
    <t>Xin về sớm thứ 5 ngày 14/11/2019. Xin cảm ơn</t>
  </si>
  <si>
    <t>tắc đường</t>
  </si>
  <si>
    <t>đi có việc cá nhân</t>
  </si>
  <si>
    <t>chị xin đến muộn 60p</t>
  </si>
  <si>
    <t>đau bụng xin về nghỉ</t>
  </si>
  <si>
    <t>tôi xin đến muộn 1h</t>
  </si>
  <si>
    <t>Số ngày nghỉ</t>
  </si>
  <si>
    <t>Lý do nghỉ</t>
  </si>
  <si>
    <t>Nghỉ phép</t>
  </si>
  <si>
    <t>Nghỉ không lương</t>
  </si>
  <si>
    <t>Nghỉ ốm</t>
  </si>
  <si>
    <t>Nghỉ thai sản</t>
  </si>
  <si>
    <t>Nghỉ không lương cả ngày</t>
  </si>
  <si>
    <t>Nghỉ phép cả ngày</t>
  </si>
  <si>
    <t>Nghỉ ốm cả ngày</t>
  </si>
  <si>
    <t>Nghỉ thai sản cả ngày</t>
  </si>
  <si>
    <t>Nghỉ con ốm cả ngày</t>
  </si>
  <si>
    <t>Nghỉ không lương nửa ngày</t>
  </si>
  <si>
    <t>Nghỉ phép nửa ngày</t>
  </si>
  <si>
    <t>Nghỉ ốm nửa ngày</t>
  </si>
  <si>
    <t>Nghỉ thai sản nửa ngày</t>
  </si>
  <si>
    <t>Nghỉ con ốm nửa ngày</t>
  </si>
  <si>
    <t>Ro:8</t>
  </si>
  <si>
    <t>P:8</t>
  </si>
  <si>
    <t>Ô:8</t>
  </si>
  <si>
    <t>TS:8</t>
  </si>
  <si>
    <t>Cô:8</t>
  </si>
  <si>
    <t>Ro:4</t>
  </si>
  <si>
    <t>P:4</t>
  </si>
  <si>
    <t>Ô:4</t>
  </si>
  <si>
    <t>TS:4</t>
  </si>
  <si>
    <t>Cô:4</t>
  </si>
  <si>
    <t>Điền</t>
  </si>
  <si>
    <t>X:8</t>
  </si>
  <si>
    <t>OFF</t>
  </si>
  <si>
    <t>Tiền phạt theo phút</t>
  </si>
  <si>
    <t>Tiền phạt theo công</t>
  </si>
  <si>
    <t>Tổng tiền phạt</t>
  </si>
  <si>
    <t>Lương cơ bản</t>
  </si>
  <si>
    <t>Công chuẩn</t>
  </si>
  <si>
    <t>Tổng số phút đi muộn/về sớm</t>
  </si>
  <si>
    <t>Ca</t>
  </si>
  <si>
    <t>Giờ vào (SÁNG)</t>
  </si>
  <si>
    <t>Sáng</t>
  </si>
  <si>
    <t>Chiều</t>
  </si>
  <si>
    <t>Mốc giờ vào (SÁNG)</t>
  </si>
  <si>
    <t>Mốc giờ ra (SÁNG)</t>
  </si>
  <si>
    <t>Mốc giờ vào (CHIỀU)</t>
  </si>
  <si>
    <t>Mốc giờ ra (CHIỀU)</t>
  </si>
  <si>
    <t>Không chấm công</t>
  </si>
  <si>
    <t>Kiểm tra</t>
  </si>
  <si>
    <t>In/Out FIX</t>
  </si>
  <si>
    <t>Ca FIX</t>
  </si>
  <si>
    <t>Ghi chú</t>
  </si>
  <si>
    <t>Fix lại ra vào</t>
  </si>
  <si>
    <t>Mã ra vào</t>
  </si>
  <si>
    <t>Mã đơn</t>
  </si>
  <si>
    <t>Thứ</t>
  </si>
  <si>
    <t>Ngày nghỉ tuần</t>
  </si>
  <si>
    <t>BẢNG TỔNG HỢP CHẤM CÔNG</t>
  </si>
  <si>
    <t>Công ngày thường</t>
  </si>
  <si>
    <t>X:4,Ô:4</t>
  </si>
  <si>
    <t>Nửa công ngày thường, nghỉ ốm nửa ngày</t>
  </si>
  <si>
    <t>Nghỉ tuần cả ngày</t>
  </si>
  <si>
    <t>X:4,Rv:4</t>
  </si>
  <si>
    <t>Nửa công ngày thường, nghỉ việc riêng hưởng nửa ngày</t>
  </si>
  <si>
    <t>Từ</t>
  </si>
  <si>
    <t>NL:8</t>
  </si>
  <si>
    <t>Nghỉ lễ</t>
  </si>
  <si>
    <t>X:4,Ro:4</t>
  </si>
  <si>
    <t>Nửa công ngày thường, nghỉ không lương nửa ngày</t>
  </si>
  <si>
    <t>Đến</t>
  </si>
  <si>
    <t>P:4,Rv:4</t>
  </si>
  <si>
    <t>Nghỉ phép nửa ngày, nghỉ việc riêng hưởng lương nửa ngày</t>
  </si>
  <si>
    <t>HC</t>
  </si>
  <si>
    <t>P:4,Ro:4</t>
  </si>
  <si>
    <t>Nghỉ phép nửa ngày, nghỉ không lương nửa ngày</t>
  </si>
  <si>
    <t>DV</t>
  </si>
  <si>
    <t>X:4,P:4</t>
  </si>
  <si>
    <t>Nửa công ngày thường, nghỉ phép nửa ngày</t>
  </si>
  <si>
    <t>Rv:8</t>
  </si>
  <si>
    <t>Nghỉ việc riêng hưởng lương cả ngày</t>
  </si>
  <si>
    <t>P:4,Ô:4</t>
  </si>
  <si>
    <t>Nghỉ phép nửa ngày, nghỉ ốm nửa ngày</t>
  </si>
  <si>
    <t>Đơn vị</t>
  </si>
  <si>
    <t>Mã NV</t>
  </si>
  <si>
    <t>Họ tên</t>
  </si>
  <si>
    <t>Chức danh</t>
  </si>
  <si>
    <t>Loại công</t>
  </si>
  <si>
    <t>Tổng công đi làm thực tế + nghỉ hưởng lương</t>
  </si>
  <si>
    <t>Công Thử việc</t>
  </si>
  <si>
    <t>Tổng công không lương</t>
  </si>
  <si>
    <t>Công ăn ca thực tế</t>
  </si>
  <si>
    <t>Chênh lệch (Số không được âm)</t>
  </si>
  <si>
    <t>PHÉP</t>
  </si>
  <si>
    <t>Phòng</t>
  </si>
  <si>
    <t>Quỹ phép</t>
  </si>
  <si>
    <t>Tổng số phép nghỉ trong tháng</t>
  </si>
  <si>
    <t>Phép còn lại</t>
  </si>
  <si>
    <t>Phòng Kinh doanh</t>
  </si>
  <si>
    <t>Nhân viên Kinh doanh</t>
  </si>
  <si>
    <t>Nhân viên Kỹ thuật SEO</t>
  </si>
  <si>
    <t>Nhân viên PanCake</t>
  </si>
  <si>
    <t>Mã công</t>
  </si>
  <si>
    <t>Tên công</t>
  </si>
  <si>
    <t>Quy đổi công hưởng lương</t>
  </si>
  <si>
    <t>Quy đổi công không lương</t>
  </si>
  <si>
    <t>Ngày ký hợp đồng chính thức</t>
  </si>
  <si>
    <t>Công thử việc</t>
  </si>
  <si>
    <t>Công có lương</t>
  </si>
  <si>
    <t>Công không lương</t>
  </si>
  <si>
    <t>Ngày nghỉ phép</t>
  </si>
  <si>
    <t>Số tiền trừ</t>
  </si>
  <si>
    <t>Bước 1:</t>
  </si>
  <si>
    <t>CT</t>
  </si>
  <si>
    <t>- Điền hoặc Copy lại dữ liệu ở các ô bên cạnh</t>
  </si>
  <si>
    <t>Bước 2:</t>
  </si>
  <si>
    <t>Bước 3:</t>
  </si>
  <si>
    <t>Bước 4:</t>
  </si>
  <si>
    <t>TỔNG HỢP DỮ LIỆU</t>
  </si>
  <si>
    <t>DANH SÁCH THEO DÕI CHẤM CÔNG VÂN TAY</t>
  </si>
  <si>
    <t>Giờ ra (SÁNG)
(11:00 - 13:00)</t>
  </si>
  <si>
    <t>Giờ vào (CHIỀU)
(13:00 - 16:00)</t>
  </si>
  <si>
    <t>Giờ ra (CHIỀU)
(16:00 - 20:00)</t>
  </si>
  <si>
    <t>DANH SÁCH ĐƠN XIN NGHỈ PHÉP</t>
  </si>
  <si>
    <t>Nháp VÀO SÁNG</t>
  </si>
  <si>
    <t>Nháp RA SÁNG</t>
  </si>
  <si>
    <t>Nháp VÀO CHIỀU</t>
  </si>
  <si>
    <t>Nháp RA CHIỀU</t>
  </si>
  <si>
    <t>Tổng số phút đi muộn/về sớm NGOÀI phút thứ 60</t>
  </si>
  <si>
    <t>CÔNG PHẠT quy đổi từ số phút đi muộn/về sớm NGOÀI phút 60</t>
  </si>
  <si>
    <t>- Các lý do khách quan như sau sẽ không bị coi là quên chấm công và không bị trừ tiền phạt:</t>
  </si>
  <si>
    <t>+ Máy chấm công trục trặc</t>
  </si>
  <si>
    <t>+ Mất điện tại thời điểm chấm công</t>
  </si>
  <si>
    <t>+ Đi ra ngoài làm việc/công tác</t>
  </si>
  <si>
    <t>KÝ HIỆU CHẤM CÔNG</t>
  </si>
  <si>
    <t>TỔNG HỢP CÔNG</t>
  </si>
  <si>
    <t>Mã NV+ Ngày nghỉ</t>
  </si>
  <si>
    <t>Tổng số giờ làm việc</t>
  </si>
  <si>
    <t>Lương cơ bản (Thử việc hoặc chính thức) tại tháng tính lương</t>
  </si>
  <si>
    <t>Ngày chấm công</t>
  </si>
  <si>
    <t>Thứ trong tuần</t>
  </si>
  <si>
    <t>Giờ VÀO buổi SÁNG (ghi nhận khi chấm công từ 07:00 - 11:00)</t>
  </si>
  <si>
    <t>Giờ RA buổi SÁNG (ghi nhận khi chấm công từ 11:00 - 13:00)</t>
  </si>
  <si>
    <t>Giờ VÀO buổi CHIỀU (ghi nhận khi chấm công từ 13:00 - 16:00)</t>
  </si>
  <si>
    <t>Giờ RA buổi CHIỀU (ghi nhận khi chấm công từ 16:00 - 20:00)</t>
  </si>
  <si>
    <t>Lọc TH làm sáng nhưng chấm công về vào giờ vào buổi chiều</t>
  </si>
  <si>
    <t>Mốc giờ vào buổi SÁNG</t>
  </si>
  <si>
    <t>Mốc giờ ra buổi SÁNG</t>
  </si>
  <si>
    <t>Mốc giờ vào buổi CHIỀU</t>
  </si>
  <si>
    <t>Mốc giờ ra buổi CHIỀU</t>
  </si>
  <si>
    <t>Số phút được phép</t>
  </si>
  <si>
    <t>Số phút được phép đi muộn, về sớm</t>
  </si>
  <si>
    <t>Tiền phạt tính theo công</t>
  </si>
  <si>
    <t>Tiền phạt tính theo phút (2k/phút)</t>
  </si>
  <si>
    <t>Xác định theo giờ làm
- Từ 6 giờ trở xuống: X:4
- Trên 6 giờ: X:8</t>
  </si>
  <si>
    <t>Cột nháp: Mã NV+ Ngày nghỉ</t>
  </si>
  <si>
    <t>Ký hiệu công làm việc (X)</t>
  </si>
  <si>
    <t>Ngày nghỉ tuần (OFF)</t>
  </si>
  <si>
    <t>Ngày vào công ty</t>
  </si>
  <si>
    <t>Ngày nghỉ tuần xác định theo ngày thứ mấy trong tuần</t>
  </si>
  <si>
    <t>Quy ra công tính lương</t>
  </si>
  <si>
    <t>Quy ra công không tính ương</t>
  </si>
  <si>
    <t>Quy ra công thử việc</t>
  </si>
  <si>
    <t>Công chính thức</t>
  </si>
  <si>
    <t>Quy ra công chính thức</t>
  </si>
  <si>
    <t>Quy ra ngày nghỉ phép</t>
  </si>
  <si>
    <t>Không có bất cứ chấm công vân tay nào trong ngày</t>
  </si>
  <si>
    <t>Không có chấm công vân tay giờ vào</t>
  </si>
  <si>
    <t>Không có chấm công vân tay giờ ra</t>
  </si>
  <si>
    <t>50K từ lần quên thứ 3 trong tháng</t>
  </si>
  <si>
    <t>Đồng ý</t>
  </si>
  <si>
    <t>Lần quên thứ</t>
  </si>
  <si>
    <t>Lần quên check in/out thứ mấy trong tháng</t>
  </si>
  <si>
    <t>Đồng ý tính công lúc quên check in/out</t>
  </si>
  <si>
    <t>Quên check in SÁNG</t>
  </si>
  <si>
    <t>Quên check in CHIỀU</t>
  </si>
  <si>
    <t>Quên check out SÁNG</t>
  </si>
  <si>
    <t>Quên check out CHIỀU</t>
  </si>
  <si>
    <t>Ký hiệu công FIX</t>
  </si>
  <si>
    <t>Lý do fix</t>
  </si>
  <si>
    <t>Ký hiệu công fix các lỗi ký hiệu không đúng chuẩn</t>
  </si>
  <si>
    <t>Lý do fix lại ký hiệu công</t>
  </si>
  <si>
    <t>Xin nghỉ nhưng không nghỉ mà đi làm</t>
  </si>
  <si>
    <t>Ngày nghỉ việc</t>
  </si>
  <si>
    <t>Ký hiệu nghỉ (Ô, Cô, P, Ro, Rv)</t>
  </si>
  <si>
    <t>Xác định theo đơn xin nghỉ hoặc Ro Nếu quên chấm công</t>
  </si>
  <si>
    <t>Bước 5:</t>
  </si>
  <si>
    <t>Chọn số 1 vào ngày nghỉ tuần</t>
  </si>
  <si>
    <r>
      <t xml:space="preserve">   + </t>
    </r>
    <r>
      <rPr>
        <b/>
        <sz val="11"/>
        <color theme="1"/>
        <rFont val="Times New Roman"/>
        <family val="1"/>
      </rPr>
      <t>Ngày nghỉ tuần</t>
    </r>
    <r>
      <rPr>
        <sz val="11"/>
        <color theme="1"/>
        <rFont val="Times New Roman"/>
        <family val="1"/>
      </rPr>
      <t>: đối với các chế độ làm việc có ngày nghỉ tuần khác nhau, điền vào cột I số 1 đối với những ngày là ngày nghỉ tuần theo lịch xếp ca</t>
    </r>
  </si>
  <si>
    <t>Chọn</t>
  </si>
  <si>
    <t>Dữ liệu lấy từ máy chấm công</t>
  </si>
  <si>
    <t>Làm buổi sáng, nhưng đi về vào khung giờ vào buổi chiều (13:00 - 16:00): Lỗi nhận diện sai khi chấm công đi "Ra" buổi Sáng thành "Vào" buổi Chiều</t>
  </si>
  <si>
    <t>Làm buổi chiều, nhưng đến vào khung giờ ra buổi sáng (11:00 - 13:00): Lỗi nhận diện sai khi chấm công đi "Vào" buổi chiều thành "Ra" buổi Sáng</t>
  </si>
  <si>
    <t>=&gt; Phải sửa tay</t>
  </si>
  <si>
    <t>UPDATE VER 5</t>
  </si>
  <si>
    <t>CÁC BƯỚC THỰC HIỆN</t>
  </si>
  <si>
    <t>- Xuất dữ liệu chấm công vân tay từ chấm chấm công</t>
  </si>
  <si>
    <r>
      <t xml:space="preserve">- Copy toàn bộ dữ liệu chấm công vân tay vào sheet </t>
    </r>
    <r>
      <rPr>
        <b/>
        <sz val="11"/>
        <color theme="1"/>
        <rFont val="Times New Roman"/>
        <family val="1"/>
      </rPr>
      <t>"1. Vân tay"</t>
    </r>
    <r>
      <rPr>
        <sz val="11"/>
        <color theme="1"/>
        <rFont val="Times New Roman"/>
        <family val="1"/>
      </rPr>
      <t>, phần tô VÀNG</t>
    </r>
  </si>
  <si>
    <t>- Xuất dữ liệu Đi muộn về sớm từ phần mềm hoặc từ file quản lý đi sớm về muộn</t>
  </si>
  <si>
    <r>
      <t xml:space="preserve">- Copy toàn bộ dữ liệu Đi muộn về sớm vào sheet </t>
    </r>
    <r>
      <rPr>
        <b/>
        <sz val="11"/>
        <color theme="1"/>
        <rFont val="Times New Roman"/>
        <family val="1"/>
      </rPr>
      <t>"2. Đi muộn về sớm"</t>
    </r>
    <r>
      <rPr>
        <sz val="11"/>
        <color theme="1"/>
        <rFont val="Times New Roman"/>
        <family val="1"/>
      </rPr>
      <t>, phần tô VÀNG</t>
    </r>
  </si>
  <si>
    <t>- Xuất dữ liệu Đơn xin nghỉ từ phần mềm hoặc từ file quản lý đi sớm về muộn</t>
  </si>
  <si>
    <r>
      <t xml:space="preserve">- Copy toàn bộ dữ liệu Đơn xin nghỉ vào sheet </t>
    </r>
    <r>
      <rPr>
        <b/>
        <sz val="11"/>
        <color theme="1"/>
        <rFont val="Times New Roman"/>
        <family val="1"/>
      </rPr>
      <t>"3. Đơn xin nghỉ"</t>
    </r>
    <r>
      <rPr>
        <sz val="11"/>
        <color theme="1"/>
        <rFont val="Times New Roman"/>
        <family val="1"/>
      </rPr>
      <t>, phần tô VÀNG</t>
    </r>
  </si>
  <si>
    <r>
      <t xml:space="preserve">   + Copy dữ liệu danh sách nhân viên và </t>
    </r>
    <r>
      <rPr>
        <b/>
        <sz val="11"/>
        <color theme="1"/>
        <rFont val="Times New Roman"/>
        <family val="1"/>
      </rPr>
      <t>nhân số lượng lên theo từng ngày</t>
    </r>
    <r>
      <rPr>
        <sz val="11"/>
        <color theme="1"/>
        <rFont val="Times New Roman"/>
        <family val="1"/>
      </rPr>
      <t>, cột A đến J</t>
    </r>
  </si>
  <si>
    <r>
      <t xml:space="preserve">- Tổng hợp dữ liệu chấm vân tay, đi muộn về sớm, đơn xin nghỉ theo từng cá nhân, từng ngày theo sheet </t>
    </r>
    <r>
      <rPr>
        <b/>
        <sz val="11"/>
        <color theme="1"/>
        <rFont val="Times New Roman"/>
        <family val="1"/>
      </rPr>
      <t>"4. Tổng hợp dữ liệu"</t>
    </r>
  </si>
  <si>
    <r>
      <t xml:space="preserve">   + Thực hiện fix lại các TH bị </t>
    </r>
    <r>
      <rPr>
        <b/>
        <sz val="11"/>
        <color theme="1"/>
        <rFont val="Times New Roman"/>
        <family val="1"/>
      </rPr>
      <t xml:space="preserve">lỗi nhận diện ca: </t>
    </r>
    <r>
      <rPr>
        <sz val="11"/>
        <color theme="1"/>
        <rFont val="Times New Roman"/>
        <family val="1"/>
      </rPr>
      <t>tại cột S, những trường hợp bị lỗi sẽ xuất hiện chữ "Kiểm tra"</t>
    </r>
  </si>
  <si>
    <r>
      <t xml:space="preserve">   + Vào sheet </t>
    </r>
    <r>
      <rPr>
        <b/>
        <sz val="11"/>
        <color theme="1"/>
        <rFont val="Times New Roman"/>
        <family val="1"/>
      </rPr>
      <t>"1. Vân tay"</t>
    </r>
    <r>
      <rPr>
        <sz val="11"/>
        <color theme="1"/>
        <rFont val="Times New Roman"/>
        <family val="1"/>
      </rPr>
      <t xml:space="preserve">, lọc ra các dòng công bị </t>
    </r>
    <r>
      <rPr>
        <b/>
        <sz val="11"/>
        <color theme="1"/>
        <rFont val="Times New Roman"/>
        <family val="1"/>
      </rPr>
      <t>"lỗi nhận diện ca"</t>
    </r>
    <r>
      <rPr>
        <sz val="11"/>
        <color theme="1"/>
        <rFont val="Times New Roman"/>
        <family val="1"/>
      </rPr>
      <t xml:space="preserve"> và sửa lại vào cột </t>
    </r>
    <r>
      <rPr>
        <b/>
        <sz val="11"/>
        <color theme="1"/>
        <rFont val="Times New Roman"/>
        <family val="1"/>
      </rPr>
      <t>"In/Out fix" và "Ca fix"</t>
    </r>
  </si>
  <si>
    <r>
      <t xml:space="preserve">- Cột </t>
    </r>
    <r>
      <rPr>
        <b/>
        <sz val="11"/>
        <color theme="1"/>
        <rFont val="Times New Roman"/>
        <family val="1"/>
      </rPr>
      <t>"In/Out fix"</t>
    </r>
    <r>
      <rPr>
        <sz val="11"/>
        <color theme="1"/>
        <rFont val="Times New Roman"/>
        <family val="1"/>
      </rPr>
      <t xml:space="preserve"> và </t>
    </r>
    <r>
      <rPr>
        <b/>
        <sz val="11"/>
        <color theme="1"/>
        <rFont val="Times New Roman"/>
        <family val="1"/>
      </rPr>
      <t>"Ca fix"</t>
    </r>
    <r>
      <rPr>
        <sz val="11"/>
        <color theme="1"/>
        <rFont val="Times New Roman"/>
        <family val="1"/>
      </rPr>
      <t xml:space="preserve"> Copy paste value lại giá trị của cột </t>
    </r>
    <r>
      <rPr>
        <b/>
        <sz val="11"/>
        <color theme="1"/>
        <rFont val="Times New Roman"/>
        <family val="1"/>
      </rPr>
      <t>"In/Out"</t>
    </r>
    <r>
      <rPr>
        <sz val="11"/>
        <color theme="1"/>
        <rFont val="Times New Roman"/>
        <family val="1"/>
      </rPr>
      <t xml:space="preserve"> và </t>
    </r>
    <r>
      <rPr>
        <b/>
        <sz val="11"/>
        <color theme="1"/>
        <rFont val="Times New Roman"/>
        <family val="1"/>
      </rPr>
      <t>"Ca"</t>
    </r>
  </si>
  <si>
    <r>
      <t xml:space="preserve">  Đồng thời dùng để sửa lại những trường hợp bị </t>
    </r>
    <r>
      <rPr>
        <b/>
        <sz val="11"/>
        <color theme="1"/>
        <rFont val="Times New Roman"/>
        <family val="1"/>
      </rPr>
      <t>lỗi nhận diện ca</t>
    </r>
    <r>
      <rPr>
        <sz val="11"/>
        <color theme="1"/>
        <rFont val="Times New Roman"/>
        <family val="1"/>
      </rPr>
      <t>, sẽ fix tại bước 4</t>
    </r>
  </si>
  <si>
    <t xml:space="preserve">   + Mốc giờ vào, ra: Là các mốc giờ vào/ra buổi sáng/chiều do công ty quy định</t>
  </si>
  <si>
    <t xml:space="preserve">   + Số phút được phép: Là số phút được phép đi muộn, về sớm trong 1 ngày</t>
  </si>
  <si>
    <t>CƠ CHẾ CHẤM CÔNG TRONG FILE NÀY</t>
  </si>
  <si>
    <t>+ Chấm công theo (1) và (4) gọi là làm việc cả ngày</t>
  </si>
  <si>
    <t>+ Chấm công theo (1) và (2) gọi là chỉ làm việc buổi sáng</t>
  </si>
  <si>
    <t>+ Chấm công theo (3) và (4) gọi là chỉ làm việc buổi chiều</t>
  </si>
  <si>
    <t>+ Chỉ chấm công theo (1) hoặc (3) gọi là chấm công đi vào nhưng quên check out</t>
  </si>
  <si>
    <t>+ Chỉ chấm công theo (2) hoặc (4) gọi là chấm công đi ra nhưng quên check in</t>
  </si>
  <si>
    <t xml:space="preserve">    Trong cùng ngày hôm đó, xuất hiện 2 lần "Vào" (Vào Sáng và Vào Chiều)</t>
  </si>
  <si>
    <t xml:space="preserve">    Trong cùng ngày hôm đó, xuất hiện 2 lần "Ra" (Ra Sáng và Ra Chiều)</t>
  </si>
  <si>
    <t>- Fix lại ký hiệu công bị lỗi (cột AN, AO)</t>
  </si>
  <si>
    <t xml:space="preserve">   + Một số ký hiệu công bị lỗi (có thể do NLĐ nghỉ, làm đơn, nhưng vẫn đi làm, hiện lên công X:8,P:8,...)</t>
  </si>
  <si>
    <t>Quên check in</t>
  </si>
  <si>
    <t>Quên check out</t>
  </si>
  <si>
    <t xml:space="preserve">   +  Đồng ý tính công/không tính công với các trường hợp quên check in/check out (Cột AZ), sửa lại ký hiệu công trong cột AN</t>
  </si>
  <si>
    <t>- Tính số tiền phạt quên Check in/check out</t>
  </si>
  <si>
    <t>Để nguyên, đang được định nghĩa công Hành chính (HC) là làm từ thứ 2 đến hết sáng thứ 7</t>
  </si>
  <si>
    <t>Để nguyên, đang được định nghĩa công Dịch vụ (DV) là mỗi tuần được nghỉ 1 ngày</t>
  </si>
  <si>
    <t>Ý nghĩa ký hiệu công</t>
  </si>
  <si>
    <t>Bảng dịch ký hiệu công</t>
  </si>
  <si>
    <t>Ngày nghỉ</t>
  </si>
  <si>
    <t>Mẹ sốt nhập viện</t>
  </si>
  <si>
    <t>Tổng số phút xin nghỉ</t>
  </si>
  <si>
    <t>- Được phép đi muộn:</t>
  </si>
  <si>
    <t>phút mỗi ngày</t>
  </si>
  <si>
    <t>- Được phép vắng mặt</t>
  </si>
  <si>
    <t>phút</t>
  </si>
  <si>
    <t>- Từ phút thứ</t>
  </si>
  <si>
    <t>mỗi lần không quá</t>
  </si>
  <si>
    <t>trở đi đến phút thứ</t>
  </si>
  <si>
    <t>sẽ bị phạt thêm</t>
  </si>
  <si>
    <t>mỗi phút</t>
  </si>
  <si>
    <t>trở đi, tiền phạt tính theo lương theo phút</t>
  </si>
  <si>
    <t>- Từ lân quên check in/out thứ</t>
  </si>
  <si>
    <t>mỗi lần</t>
  </si>
  <si>
    <t>lần/01 tháng.</t>
  </si>
  <si>
    <t>trở đi sẽ bị phạt</t>
  </si>
  <si>
    <t>Số phút đi muộn/về sớm theo ĐƠN ĐƯỢC DUYỆT</t>
  </si>
  <si>
    <t>Tổng số phút đi muộn trong 60 phút đầu/về sớm trong 60 phút cuối</t>
  </si>
  <si>
    <t>Tổng số phút đi muộn trong 60 phút đầu/về sớm trong 60 phút cuối BỊ PHẠT</t>
  </si>
  <si>
    <r>
      <t xml:space="preserve">- Nếu </t>
    </r>
    <r>
      <rPr>
        <b/>
        <i/>
        <sz val="10"/>
        <color theme="1"/>
        <rFont val="Times New Roman"/>
        <family val="1"/>
      </rPr>
      <t>đồng ý</t>
    </r>
    <r>
      <rPr>
        <i/>
        <sz val="10"/>
        <color theme="1"/>
        <rFont val="Times New Roman"/>
        <family val="1"/>
      </rPr>
      <t xml:space="preserve">: chấm lại công vào phần Fix ký hiệu công
- Nếu </t>
    </r>
    <r>
      <rPr>
        <b/>
        <i/>
        <sz val="10"/>
        <color theme="1"/>
        <rFont val="Times New Roman"/>
        <family val="1"/>
      </rPr>
      <t>để trống</t>
    </r>
    <r>
      <rPr>
        <i/>
        <sz val="10"/>
        <color theme="1"/>
        <rFont val="Times New Roman"/>
        <family val="1"/>
      </rPr>
      <t>: không chấm lại công</t>
    </r>
  </si>
  <si>
    <t>Ngày ký hợp đồng CT</t>
  </si>
  <si>
    <t>Số ngày nghỉ tuần</t>
  </si>
  <si>
    <t>Công Chính thức quá trình 1</t>
  </si>
  <si>
    <t>Công Chính thức quá trình 2</t>
  </si>
  <si>
    <t>lần mỗi tháng</t>
  </si>
  <si>
    <r>
      <t xml:space="preserve">- Được phép quên </t>
    </r>
    <r>
      <rPr>
        <b/>
        <i/>
        <sz val="12"/>
        <color rgb="FF000000"/>
        <rFont val="Times New Roman"/>
        <family val="1"/>
      </rPr>
      <t>check in/out</t>
    </r>
  </si>
  <si>
    <t>Định nghĩa về ca "sáng, chiều"</t>
  </si>
  <si>
    <t>Định nghĩa về công đi "vào, ra"</t>
  </si>
  <si>
    <r>
      <t xml:space="preserve">- Chấm công trong thời gian trước 12h30 được gọi là chấm công </t>
    </r>
    <r>
      <rPr>
        <b/>
        <sz val="12"/>
        <color theme="1"/>
        <rFont val="Times New Roman"/>
        <family val="1"/>
      </rPr>
      <t>ca "Sáng"</t>
    </r>
  </si>
  <si>
    <r>
      <t xml:space="preserve">- Chấm công trong thời gian từ 12h30 trở đi được gọi là chấm công </t>
    </r>
    <r>
      <rPr>
        <b/>
        <sz val="12"/>
        <color theme="1"/>
        <rFont val="Times New Roman"/>
        <family val="1"/>
      </rPr>
      <t>ca "Chiều"</t>
    </r>
  </si>
  <si>
    <r>
      <t xml:space="preserve">- Nếu </t>
    </r>
    <r>
      <rPr>
        <b/>
        <sz val="12"/>
        <color theme="1"/>
        <rFont val="Times New Roman"/>
        <family val="1"/>
      </rPr>
      <t>chấm công ca "Sáng"</t>
    </r>
    <r>
      <rPr>
        <sz val="12"/>
        <color theme="1"/>
        <rFont val="Times New Roman"/>
        <family val="1"/>
      </rPr>
      <t xml:space="preserve"> trong khoảng thời gian </t>
    </r>
    <r>
      <rPr>
        <b/>
        <sz val="12"/>
        <color theme="1"/>
        <rFont val="Times New Roman"/>
        <family val="1"/>
      </rPr>
      <t>từ 07:00 đến trước 11:00</t>
    </r>
    <r>
      <rPr>
        <sz val="12"/>
        <color theme="1"/>
        <rFont val="Times New Roman"/>
        <family val="1"/>
      </rPr>
      <t xml:space="preserve"> gọi là chấm công đi </t>
    </r>
    <r>
      <rPr>
        <b/>
        <sz val="12"/>
        <color theme="1"/>
        <rFont val="Times New Roman"/>
        <family val="1"/>
      </rPr>
      <t>"Vào"</t>
    </r>
    <r>
      <rPr>
        <sz val="12"/>
        <color theme="1"/>
        <rFont val="Times New Roman"/>
        <family val="1"/>
      </rPr>
      <t xml:space="preserve"> (1)</t>
    </r>
  </si>
  <si>
    <r>
      <t xml:space="preserve">- Nếu </t>
    </r>
    <r>
      <rPr>
        <b/>
        <sz val="12"/>
        <color theme="1"/>
        <rFont val="Times New Roman"/>
        <family val="1"/>
      </rPr>
      <t>chấm công ca "Sáng"</t>
    </r>
    <r>
      <rPr>
        <sz val="12"/>
        <color theme="1"/>
        <rFont val="Times New Roman"/>
        <family val="1"/>
      </rPr>
      <t xml:space="preserve"> trong khoảng thời gian </t>
    </r>
    <r>
      <rPr>
        <b/>
        <sz val="12"/>
        <color theme="1"/>
        <rFont val="Times New Roman"/>
        <family val="1"/>
      </rPr>
      <t>từ 11:00 đến trước 13:00</t>
    </r>
    <r>
      <rPr>
        <sz val="12"/>
        <color theme="1"/>
        <rFont val="Times New Roman"/>
        <family val="1"/>
      </rPr>
      <t xml:space="preserve"> gọi là chấm công đi </t>
    </r>
    <r>
      <rPr>
        <b/>
        <sz val="12"/>
        <color theme="1"/>
        <rFont val="Times New Roman"/>
        <family val="1"/>
      </rPr>
      <t>"Ra"</t>
    </r>
    <r>
      <rPr>
        <sz val="12"/>
        <color theme="1"/>
        <rFont val="Times New Roman"/>
        <family val="1"/>
      </rPr>
      <t xml:space="preserve"> (2)</t>
    </r>
  </si>
  <si>
    <r>
      <t xml:space="preserve">- Nếu </t>
    </r>
    <r>
      <rPr>
        <b/>
        <sz val="12"/>
        <color theme="1"/>
        <rFont val="Times New Roman"/>
        <family val="1"/>
      </rPr>
      <t>chấm công ca "Chiều"</t>
    </r>
    <r>
      <rPr>
        <sz val="12"/>
        <color theme="1"/>
        <rFont val="Times New Roman"/>
        <family val="1"/>
      </rPr>
      <t xml:space="preserve"> trong khoảng thời gian </t>
    </r>
    <r>
      <rPr>
        <b/>
        <sz val="12"/>
        <color theme="1"/>
        <rFont val="Times New Roman"/>
        <family val="1"/>
      </rPr>
      <t>từ 13:00 đến trước 16:00</t>
    </r>
    <r>
      <rPr>
        <sz val="12"/>
        <color theme="1"/>
        <rFont val="Times New Roman"/>
        <family val="1"/>
      </rPr>
      <t xml:space="preserve"> gọi là chấm công đi </t>
    </r>
    <r>
      <rPr>
        <b/>
        <sz val="12"/>
        <color theme="1"/>
        <rFont val="Times New Roman"/>
        <family val="1"/>
      </rPr>
      <t xml:space="preserve">"Vào" </t>
    </r>
    <r>
      <rPr>
        <sz val="12"/>
        <color theme="1"/>
        <rFont val="Times New Roman"/>
        <family val="1"/>
      </rPr>
      <t>(3)</t>
    </r>
  </si>
  <si>
    <r>
      <t xml:space="preserve">- Nếu </t>
    </r>
    <r>
      <rPr>
        <b/>
        <sz val="12"/>
        <color theme="1"/>
        <rFont val="Times New Roman"/>
        <family val="1"/>
      </rPr>
      <t>chấm công ca "Chiều"</t>
    </r>
    <r>
      <rPr>
        <sz val="12"/>
        <color theme="1"/>
        <rFont val="Times New Roman"/>
        <family val="1"/>
      </rPr>
      <t xml:space="preserve"> trong khoảng thời gian </t>
    </r>
    <r>
      <rPr>
        <b/>
        <sz val="12"/>
        <color theme="1"/>
        <rFont val="Times New Roman"/>
        <family val="1"/>
      </rPr>
      <t>từ 16:00 đến trước 20:00</t>
    </r>
    <r>
      <rPr>
        <sz val="12"/>
        <color theme="1"/>
        <rFont val="Times New Roman"/>
        <family val="1"/>
      </rPr>
      <t xml:space="preserve"> gọi là chấm công đi </t>
    </r>
    <r>
      <rPr>
        <b/>
        <sz val="12"/>
        <color theme="1"/>
        <rFont val="Times New Roman"/>
        <family val="1"/>
      </rPr>
      <t xml:space="preserve">"Ra" </t>
    </r>
    <r>
      <rPr>
        <sz val="12"/>
        <color theme="1"/>
        <rFont val="Times New Roman"/>
        <family val="1"/>
      </rPr>
      <t>(4)</t>
    </r>
  </si>
  <si>
    <r>
      <t>+ Trường hợp có thể bị l</t>
    </r>
    <r>
      <rPr>
        <b/>
        <sz val="12"/>
        <color theme="1"/>
        <rFont val="Times New Roman"/>
        <family val="1"/>
      </rPr>
      <t>ỗi nhận diện ca:</t>
    </r>
  </si>
  <si>
    <t>Lần đi muộn thứ</t>
  </si>
  <si>
    <t>Thời gian đi muộn mỗi lần tối đa</t>
  </si>
  <si>
    <t>Số lần được phép đi muộn mỗi tháng</t>
  </si>
  <si>
    <t>Tổng số phút đi muộn/về sớm theo chấm công vân tay</t>
  </si>
  <si>
    <t>Công Hành chính</t>
  </si>
  <si>
    <t>Công Dịch vụ</t>
  </si>
  <si>
    <t>Từ ngày</t>
  </si>
  <si>
    <t>Đến ngày</t>
  </si>
  <si>
    <t>Chú thích ô màu trong "Data DSNV"</t>
  </si>
  <si>
    <t>Điền dữ liệu theo tiêu đề</t>
  </si>
  <si>
    <t>Chọn theo tùy chọn có sẵn trong ô</t>
  </si>
  <si>
    <t>Công thức</t>
  </si>
  <si>
    <t>Copy công thức từ ô đầu tiên xuống</t>
  </si>
  <si>
    <r>
      <t xml:space="preserve">Đưa dữ liệu "chấm công vân tay" vào sheet </t>
    </r>
    <r>
      <rPr>
        <b/>
        <sz val="11"/>
        <color theme="1"/>
        <rFont val="Times New Roman"/>
        <family val="1"/>
      </rPr>
      <t>"1. Vân tay"</t>
    </r>
  </si>
  <si>
    <r>
      <t xml:space="preserve">Đưa dữ liệu về đơn đi muộn về sớm vào sheet </t>
    </r>
    <r>
      <rPr>
        <b/>
        <sz val="11"/>
        <color theme="1"/>
        <rFont val="Times New Roman"/>
        <family val="1"/>
      </rPr>
      <t>"2. Đi muộn về sớm"</t>
    </r>
  </si>
  <si>
    <r>
      <t xml:space="preserve">Đưa dữ liệu về đơn xin nghỉ phép, xin nghỉ việc riêng, xin nghỉ ốm,… vào sheet </t>
    </r>
    <r>
      <rPr>
        <b/>
        <sz val="11"/>
        <color theme="1"/>
        <rFont val="Times New Roman"/>
        <family val="1"/>
      </rPr>
      <t>"3. Đơn xin nghỉ"</t>
    </r>
  </si>
  <si>
    <r>
      <t xml:space="preserve">- Do đơn xin nghỉ </t>
    </r>
    <r>
      <rPr>
        <b/>
        <sz val="11"/>
        <color theme="1"/>
        <rFont val="Times New Roman"/>
        <family val="1"/>
      </rPr>
      <t>có thể xin qua nhiều ngày</t>
    </r>
    <r>
      <rPr>
        <sz val="11"/>
        <color theme="1"/>
        <rFont val="Times New Roman"/>
        <family val="1"/>
      </rPr>
      <t xml:space="preserve">, chúng ta </t>
    </r>
    <r>
      <rPr>
        <b/>
        <sz val="11"/>
        <color theme="1"/>
        <rFont val="Times New Roman"/>
        <family val="1"/>
      </rPr>
      <t>cần tách 1 đơn như vậy thành nhiều dòng, mỗi dòng một ngày</t>
    </r>
    <r>
      <rPr>
        <sz val="11"/>
        <color theme="1"/>
        <rFont val="Times New Roman"/>
        <family val="1"/>
      </rPr>
      <t>. Lưu ý:</t>
    </r>
  </si>
  <si>
    <r>
      <t xml:space="preserve">  + Mỗi dòng là 1 ngày nghỉ; </t>
    </r>
    <r>
      <rPr>
        <b/>
        <sz val="11"/>
        <color theme="1"/>
        <rFont val="Times New Roman"/>
        <family val="1"/>
      </rPr>
      <t xml:space="preserve">Số ngày nghỉ </t>
    </r>
    <r>
      <rPr>
        <sz val="11"/>
        <color theme="1"/>
        <rFont val="Times New Roman"/>
        <family val="1"/>
      </rPr>
      <t xml:space="preserve">tối đa ở mỗi dòng là </t>
    </r>
    <r>
      <rPr>
        <b/>
        <sz val="11"/>
        <color theme="1"/>
        <rFont val="Times New Roman"/>
        <family val="1"/>
      </rPr>
      <t>1</t>
    </r>
  </si>
  <si>
    <r>
      <t xml:space="preserve">  + </t>
    </r>
    <r>
      <rPr>
        <b/>
        <sz val="11"/>
        <color theme="1"/>
        <rFont val="Times New Roman"/>
        <family val="1"/>
      </rPr>
      <t>"Lý do nghỉ"</t>
    </r>
    <r>
      <rPr>
        <sz val="11"/>
        <color theme="1"/>
        <rFont val="Times New Roman"/>
        <family val="1"/>
      </rPr>
      <t xml:space="preserve"> lựa chọn trong các tùy chọn có sẵn</t>
    </r>
  </si>
  <si>
    <r>
      <t xml:space="preserve">   + Copy dữ liệu từ cột K đến cột F</t>
    </r>
    <r>
      <rPr>
        <b/>
        <sz val="11"/>
        <color rgb="FFFF0000"/>
        <rFont val="Times New Roman"/>
        <family val="1"/>
      </rPr>
      <t xml:space="preserve"> (bao gồm cả cột đang bị Hide)</t>
    </r>
  </si>
  <si>
    <t>- Sửa lại thông tin tháng chấm công</t>
  </si>
  <si>
    <t>(Tự động) Ngày cuối cùng của tháng chấm công</t>
  </si>
  <si>
    <t>Điền ngày đầu tiên của tháng chấm công khi sang tháng mới</t>
  </si>
  <si>
    <t>- Từ cột A đến cột E, đưa vào thông tin nhân viên chấm công của tháng</t>
  </si>
  <si>
    <t>Tổng hợp dữ liệu từ 3 bước trên</t>
  </si>
  <si>
    <r>
      <t xml:space="preserve">Đưa dữ liệu từ bảng Tổng hợp vào bảng chấm công, từ đó tính ra Tổng hợp công. Trong sheet </t>
    </r>
    <r>
      <rPr>
        <b/>
        <sz val="11"/>
        <color theme="1"/>
        <rFont val="Times New Roman"/>
        <family val="1"/>
      </rPr>
      <t>"5.Bảng CC"</t>
    </r>
    <r>
      <rPr>
        <sz val="11"/>
        <color theme="1"/>
        <rFont val="Times New Roman"/>
        <family val="1"/>
      </rPr>
      <t>:</t>
    </r>
  </si>
  <si>
    <t>- Đưa vào dữ liệu Quỹ phép tới thời điểm hiện tại của từng nhân viên vào cột AZ để có căn cứ so sánh với số phép thực dùng trong tháng</t>
  </si>
  <si>
    <t>- Để hiện ra ký hiệu chấm công, copy công thức tại dòng đầu tiên (Cột F đến cột AJ). Sau đó Paste Value lại dữ liệu (từ dòng thứ 2) để tránh file bị nặng khi tính toán lại</t>
  </si>
  <si>
    <t>- Chọn loại công của mỗi nhân viên vào cột AK (HC hoặc DV)</t>
  </si>
  <si>
    <t>- Dữ liệu tổng hợp công từ cột AQ đến AX là dữ liệu đưa vào bảng lương</t>
  </si>
  <si>
    <t>- Dữ liệu phép từ cột AZ đến BB:</t>
  </si>
  <si>
    <t xml:space="preserve">   + Do không được sử dụng tạm ứng quỹ phép, đảm bảo rằng không chấm ký hiệu phép nhiều hơn quỹ đang có</t>
  </si>
  <si>
    <t xml:space="preserve">   + Sau khi chấm công xong, đưa số phép sử dụng trong tháng trở lại bảng theo dõi Quỹ phép năm</t>
  </si>
  <si>
    <t>Ngày thay đổi vị trí công tác</t>
  </si>
  <si>
    <r>
      <t>- Với cột "</t>
    </r>
    <r>
      <rPr>
        <b/>
        <sz val="11"/>
        <color theme="1"/>
        <rFont val="Times New Roman"/>
        <family val="1"/>
      </rPr>
      <t>Ngày ký hợp đồng CT</t>
    </r>
    <r>
      <rPr>
        <sz val="11"/>
        <color theme="1"/>
        <rFont val="Times New Roman"/>
        <family val="1"/>
      </rPr>
      <t xml:space="preserve">": điền vào ngày ký HĐLĐ </t>
    </r>
    <r>
      <rPr>
        <b/>
        <sz val="11"/>
        <color theme="1"/>
        <rFont val="Times New Roman"/>
        <family val="1"/>
      </rPr>
      <t>khi trong tháng có quá trình thử việc</t>
    </r>
  </si>
  <si>
    <r>
      <t>- Với cột "</t>
    </r>
    <r>
      <rPr>
        <b/>
        <sz val="11"/>
        <color theme="1"/>
        <rFont val="Times New Roman"/>
        <family val="1"/>
      </rPr>
      <t>Ngày thay đổi vị trí công tác</t>
    </r>
    <r>
      <rPr>
        <sz val="11"/>
        <color theme="1"/>
        <rFont val="Times New Roman"/>
        <family val="1"/>
      </rPr>
      <t xml:space="preserve">": điền vào ngày thay đổi vị trí công tác </t>
    </r>
    <r>
      <rPr>
        <b/>
        <sz val="11"/>
        <color theme="1"/>
        <rFont val="Times New Roman"/>
        <family val="1"/>
      </rPr>
      <t>nếu đó là ngày trong tháng đang chấm công</t>
    </r>
    <r>
      <rPr>
        <sz val="11"/>
        <color theme="1"/>
        <rFont val="Times New Roman"/>
        <family val="1"/>
      </rPr>
      <t xml:space="preserve">. TH không có thay đổi, để </t>
    </r>
    <r>
      <rPr>
        <b/>
        <sz val="11"/>
        <color theme="1"/>
        <rFont val="Times New Roman"/>
        <family val="1"/>
      </rPr>
      <t>mặc định là 31/12/2100</t>
    </r>
  </si>
  <si>
    <t>UPDATE VER 4</t>
  </si>
  <si>
    <t>- Update về giao diện của file và cắt bỏ những cột dữ liệu không cần thiết</t>
  </si>
  <si>
    <r>
      <t xml:space="preserve">- Cho phép lựa chọn các chỉ số trong bảng </t>
    </r>
    <r>
      <rPr>
        <b/>
        <sz val="12"/>
        <color theme="1"/>
        <rFont val="Times New Roman"/>
        <family val="1"/>
      </rPr>
      <t>"CƠ CHẾ CHẤM CÔNG TRONG FILE NÀY"</t>
    </r>
    <r>
      <rPr>
        <sz val="12"/>
        <color theme="1"/>
        <rFont val="Times New Roman"/>
        <family val="1"/>
      </rPr>
      <t xml:space="preserve"> để phù hợp với từng doanh nghiệp</t>
    </r>
  </si>
  <si>
    <t>- Chi tiết hơn về Hướng dẫn sử dụng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</si>
</sst>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dd/mm/yyyy\ hh:mm:ss"/>
    <numFmt numFmtId="167" formatCode="#,##0.00_);\(#,##0.00\)"/>
    <numFmt numFmtId="168" formatCode="0.000"/>
    <numFmt numFmtId="169" formatCode="_(* #,##0_);_(* \(#,##0\);_(* &quot;-&quot;??_);_(@_)"/>
    <numFmt numFmtId="170" formatCode="_-* #,##0.0_-;\-* #,##0.0_-;_-* &quot;-&quot;??_-;_-@_-"/>
    <numFmt numFmtId="171" formatCode="_-* #,##0_-;\-* #,##0_-;_-* &quot;-&quot;??_-;_-@_-"/>
    <numFmt numFmtId="172" formatCode="_-* #,##0.0\ _₫_-;\-* #,##0.0\ _₫_-;_-* &quot;-&quot;??\ _₫_-;_-@_-"/>
    <numFmt numFmtId="173" formatCode="[$-101042A]d\ mmmm\ yyyy;@"/>
    <numFmt numFmtId="174" formatCode="dd"/>
    <numFmt numFmtId="175" formatCode="_-* #,##0.0\ _₫_-;\-* #,##0.0\ _₫_-;_-* &quot;-&quot;?\ _₫_-;_-@_-"/>
    <numFmt numFmtId="176" formatCode="0.0"/>
    <numFmt numFmtId="177" formatCode="_(* #,##0.0_);_(* \(#,##0.0\);_(* &quot;-&quot;??_);_(@_)"/>
    <numFmt numFmtId="178" formatCode="_-* #,##0\ [$VND]_-;\-* #,##0\ [$VND]_-;_-* &quot;-&quot;\ [$VND]_-;_-@_-"/>
    <numFmt numFmtId="179" formatCode="#,##0\ [$VND]"/>
  </numFmts>
  <fonts count="53" x14ac:knownFonts="1">
    <font>
      <sz val="11"/>
      <color theme="1"/>
      <name val="Calibri"/>
      <family val="2"/>
      <charset val="163"/>
      <scheme val="minor"/>
    </font>
    <font>
      <sz val="11"/>
      <color theme="1"/>
      <name val="Times New Roman"/>
      <family val="1"/>
    </font>
    <font>
      <sz val="10"/>
      <name val="Arial"/>
      <family val="2"/>
    </font>
    <font>
      <sz val="10"/>
      <color rgb="FF000000"/>
      <name val="Arial"/>
      <family val="2"/>
    </font>
    <font>
      <b/>
      <sz val="11"/>
      <color theme="1"/>
      <name val="Times New Roman"/>
      <family val="1"/>
    </font>
    <font>
      <sz val="9"/>
      <color indexed="81"/>
      <name val="Tahoma"/>
      <family val="2"/>
    </font>
    <font>
      <b/>
      <sz val="10"/>
      <name val="Times New Roman"/>
      <family val="1"/>
    </font>
    <font>
      <sz val="10"/>
      <name val="Times New Roman"/>
      <family val="1"/>
    </font>
    <font>
      <b/>
      <sz val="16"/>
      <name val="Times New Roman"/>
      <family val="2"/>
    </font>
    <font>
      <sz val="10"/>
      <name val="Times New Roman"/>
      <family val="2"/>
    </font>
    <font>
      <sz val="8"/>
      <name val="Times New Roman"/>
      <family val="1"/>
    </font>
    <font>
      <sz val="11"/>
      <color theme="1"/>
      <name val="Calibri"/>
      <family val="2"/>
      <charset val="163"/>
      <scheme val="minor"/>
    </font>
    <font>
      <b/>
      <sz val="16"/>
      <name val="Times New Roman"/>
      <family val="1"/>
    </font>
    <font>
      <b/>
      <sz val="8"/>
      <name val="Times New Roman"/>
      <family val="1"/>
    </font>
    <font>
      <sz val="9"/>
      <name val="Times New Roman"/>
      <family val="1"/>
    </font>
    <font>
      <b/>
      <sz val="11"/>
      <name val="Times New Roman"/>
      <family val="1"/>
    </font>
    <font>
      <b/>
      <sz val="11"/>
      <color indexed="8"/>
      <name val="Times New Roman"/>
      <family val="1"/>
    </font>
    <font>
      <sz val="11"/>
      <color indexed="8"/>
      <name val="Times New Roman"/>
      <family val="1"/>
    </font>
    <font>
      <b/>
      <sz val="16"/>
      <color theme="1"/>
      <name val="Times New Roman"/>
      <family val="1"/>
    </font>
    <font>
      <b/>
      <sz val="10"/>
      <color theme="1"/>
      <name val="Times New Roman"/>
      <family val="1"/>
    </font>
    <font>
      <sz val="10"/>
      <color theme="1"/>
      <name val="Times New Roman"/>
      <family val="1"/>
    </font>
    <font>
      <sz val="10"/>
      <color theme="1"/>
      <name val="Calibri"/>
      <family val="2"/>
      <charset val="163"/>
      <scheme val="minor"/>
    </font>
    <font>
      <b/>
      <sz val="10"/>
      <name val="Times New Roman"/>
      <family val="2"/>
      <charset val="163"/>
    </font>
    <font>
      <sz val="10"/>
      <name val="Times New Roman"/>
      <family val="1"/>
      <charset val="163"/>
    </font>
    <font>
      <sz val="10"/>
      <name val="Arial"/>
      <family val="2"/>
      <charset val="163"/>
    </font>
    <font>
      <sz val="10"/>
      <name val="Times New Roman"/>
      <family val="2"/>
      <charset val="163"/>
    </font>
    <font>
      <b/>
      <sz val="9"/>
      <color indexed="81"/>
      <name val="Tahoma"/>
      <family val="2"/>
    </font>
    <font>
      <b/>
      <sz val="10"/>
      <color rgb="FFFF0000"/>
      <name val="Times New Roman"/>
      <family val="1"/>
    </font>
    <font>
      <i/>
      <sz val="10"/>
      <color theme="1"/>
      <name val="Times New Roman"/>
      <family val="1"/>
    </font>
    <font>
      <i/>
      <sz val="10"/>
      <color indexed="8"/>
      <name val="Times New Roman"/>
      <family val="1"/>
    </font>
    <font>
      <sz val="10"/>
      <color indexed="8"/>
      <name val="Times New Roman"/>
      <family val="1"/>
    </font>
    <font>
      <b/>
      <i/>
      <sz val="10"/>
      <color theme="1"/>
      <name val="Times New Roman"/>
      <family val="1"/>
    </font>
    <font>
      <b/>
      <sz val="26"/>
      <name val="Times New Roman"/>
      <family val="2"/>
    </font>
    <font>
      <sz val="12"/>
      <name val="Times New Roman"/>
      <family val="1"/>
    </font>
    <font>
      <b/>
      <sz val="12"/>
      <name val="Times New Roman"/>
      <family val="1"/>
    </font>
    <font>
      <b/>
      <sz val="26"/>
      <name val="Times New Roman"/>
      <family val="1"/>
    </font>
    <font>
      <sz val="12"/>
      <color theme="1"/>
      <name val="Times New Roman"/>
      <family val="1"/>
    </font>
    <font>
      <i/>
      <sz val="12"/>
      <color indexed="8"/>
      <name val="Times New Roman"/>
      <family val="1"/>
    </font>
    <font>
      <sz val="12"/>
      <color indexed="8"/>
      <name val="Times New Roman"/>
      <family val="1"/>
    </font>
    <font>
      <b/>
      <sz val="12"/>
      <color indexed="8"/>
      <name val="Times New Roman"/>
      <family val="1"/>
    </font>
    <font>
      <b/>
      <i/>
      <sz val="12"/>
      <color rgb="FF000000"/>
      <name val="Times New Roman"/>
      <family val="1"/>
    </font>
    <font>
      <b/>
      <sz val="12"/>
      <color theme="1"/>
      <name val="Times New Roman"/>
      <family val="1"/>
    </font>
    <font>
      <b/>
      <sz val="10"/>
      <color theme="0"/>
      <name val="Times New Roman"/>
      <family val="1"/>
    </font>
    <font>
      <b/>
      <sz val="10"/>
      <color indexed="8"/>
      <name val="Times New Roman"/>
      <family val="1"/>
    </font>
    <font>
      <b/>
      <sz val="16"/>
      <color theme="0"/>
      <name val="Times New Roman"/>
      <family val="1"/>
    </font>
    <font>
      <i/>
      <sz val="10"/>
      <color theme="1" tint="0.34998626667073579"/>
      <name val="Times New Roman"/>
      <family val="1"/>
    </font>
    <font>
      <sz val="8"/>
      <color theme="1" tint="0.34998626667073579"/>
      <name val="Times New Roman"/>
      <family val="1"/>
    </font>
    <font>
      <b/>
      <sz val="24"/>
      <name val="Times New Roman"/>
      <family val="1"/>
    </font>
    <font>
      <i/>
      <sz val="16"/>
      <name val="Times New Roman"/>
      <family val="1"/>
    </font>
    <font>
      <b/>
      <i/>
      <sz val="10"/>
      <color theme="1" tint="0.34998626667073579"/>
      <name val="Times New Roman"/>
      <family val="1"/>
    </font>
    <font>
      <b/>
      <sz val="28"/>
      <color theme="0"/>
      <name val="Times New Roman"/>
      <family val="1"/>
    </font>
    <font>
      <b/>
      <sz val="11"/>
      <color rgb="FFFF0000"/>
      <name val="Times New Roman"/>
      <family val="1"/>
    </font>
    <font>
      <sz val="11"/>
      <color rgb="FFFF0000"/>
      <name val="Times New Roman"/>
      <family val="1"/>
    </font>
  </fonts>
  <fills count="18">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D8D8D8"/>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0.24994659260841701"/>
        <bgColor indexed="64"/>
      </patternFill>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8"/>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3" tint="0.39994506668294322"/>
      </left>
      <right/>
      <top style="thick">
        <color theme="3" tint="0.39994506668294322"/>
      </top>
      <bottom/>
      <diagonal/>
    </border>
    <border>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1454817346722"/>
      </left>
      <right/>
      <top/>
      <bottom/>
      <diagonal/>
    </border>
    <border>
      <left/>
      <right style="thick">
        <color theme="3" tint="0.39991454817346722"/>
      </right>
      <top/>
      <bottom/>
      <diagonal/>
    </border>
    <border>
      <left style="thick">
        <color theme="3" tint="0.39991454817346722"/>
      </left>
      <right/>
      <top/>
      <bottom style="thick">
        <color theme="3" tint="0.39991454817346722"/>
      </bottom>
      <diagonal/>
    </border>
    <border>
      <left/>
      <right/>
      <top/>
      <bottom style="thick">
        <color theme="3" tint="0.39991454817346722"/>
      </bottom>
      <diagonal/>
    </border>
    <border>
      <left/>
      <right style="thick">
        <color theme="3" tint="0.39991454817346722"/>
      </right>
      <top/>
      <bottom style="thick">
        <color theme="3" tint="0.39991454817346722"/>
      </bottom>
      <diagonal/>
    </border>
    <border>
      <left style="thick">
        <color theme="8"/>
      </left>
      <right style="thick">
        <color theme="8"/>
      </right>
      <top style="thick">
        <color theme="8"/>
      </top>
      <bottom style="thick">
        <color theme="8"/>
      </bottom>
      <diagonal/>
    </border>
    <border>
      <left style="thick">
        <color theme="8"/>
      </left>
      <right style="thick">
        <color theme="8"/>
      </right>
      <top style="thick">
        <color theme="8"/>
      </top>
      <bottom style="thick">
        <color theme="0"/>
      </bottom>
      <diagonal/>
    </border>
    <border>
      <left style="thick">
        <color theme="8"/>
      </left>
      <right style="thick">
        <color theme="8"/>
      </right>
      <top style="thick">
        <color theme="0"/>
      </top>
      <bottom style="thick">
        <color theme="0"/>
      </bottom>
      <diagonal/>
    </border>
    <border>
      <left style="thick">
        <color theme="8"/>
      </left>
      <right style="thick">
        <color theme="8"/>
      </right>
      <top style="thick">
        <color theme="0"/>
      </top>
      <bottom style="thick">
        <color theme="8"/>
      </bottom>
      <diagonal/>
    </border>
    <border>
      <left style="thick">
        <color theme="8"/>
      </left>
      <right style="thin">
        <color theme="8"/>
      </right>
      <top style="thick">
        <color theme="8"/>
      </top>
      <bottom/>
      <diagonal/>
    </border>
    <border>
      <left/>
      <right/>
      <top style="thick">
        <color theme="8"/>
      </top>
      <bottom/>
      <diagonal/>
    </border>
    <border>
      <left/>
      <right style="thick">
        <color theme="8"/>
      </right>
      <top style="thick">
        <color theme="8"/>
      </top>
      <bottom/>
      <diagonal/>
    </border>
    <border>
      <left style="thick">
        <color theme="8"/>
      </left>
      <right style="thin">
        <color theme="8"/>
      </right>
      <top/>
      <bottom/>
      <diagonal/>
    </border>
    <border>
      <left/>
      <right style="thick">
        <color theme="8"/>
      </right>
      <top/>
      <bottom/>
      <diagonal/>
    </border>
    <border>
      <left style="thick">
        <color theme="8"/>
      </left>
      <right style="thin">
        <color theme="8"/>
      </right>
      <top/>
      <bottom style="thick">
        <color theme="8"/>
      </bottom>
      <diagonal/>
    </border>
    <border>
      <left/>
      <right/>
      <top/>
      <bottom style="thick">
        <color theme="8"/>
      </bottom>
      <diagonal/>
    </border>
    <border>
      <left/>
      <right style="thick">
        <color theme="8"/>
      </right>
      <top/>
      <bottom style="thick">
        <color theme="8"/>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double">
        <color rgb="FF0070C0"/>
      </bottom>
      <diagonal/>
    </border>
    <border>
      <left/>
      <right style="double">
        <color rgb="FF0070C0"/>
      </right>
      <top/>
      <bottom/>
      <diagonal/>
    </border>
    <border>
      <left/>
      <right style="double">
        <color rgb="FF0070C0"/>
      </right>
      <top/>
      <bottom style="double">
        <color rgb="FF0070C0"/>
      </bottom>
      <diagonal/>
    </border>
    <border>
      <left style="double">
        <color rgb="FF0070C0"/>
      </left>
      <right/>
      <top/>
      <bottom style="double">
        <color rgb="FF0070C0"/>
      </bottom>
      <diagonal/>
    </border>
    <border>
      <left style="thick">
        <color theme="3" tint="0.39988402966399123"/>
      </left>
      <right/>
      <top/>
      <bottom/>
      <diagonal/>
    </border>
    <border>
      <left/>
      <right style="thick">
        <color theme="3" tint="0.39988402966399123"/>
      </right>
      <top/>
      <bottom/>
      <diagonal/>
    </border>
    <border>
      <left style="thick">
        <color theme="3" tint="0.39988402966399123"/>
      </left>
      <right/>
      <top/>
      <bottom style="thick">
        <color theme="3" tint="0.39988402966399123"/>
      </bottom>
      <diagonal/>
    </border>
    <border>
      <left/>
      <right/>
      <top/>
      <bottom style="thick">
        <color theme="3" tint="0.39988402966399123"/>
      </bottom>
      <diagonal/>
    </border>
    <border>
      <left/>
      <right style="thick">
        <color theme="3" tint="0.39988402966399123"/>
      </right>
      <top/>
      <bottom style="thick">
        <color theme="3" tint="0.39988402966399123"/>
      </bottom>
      <diagonal/>
    </border>
  </borders>
  <cellStyleXfs count="11">
    <xf numFmtId="0" fontId="0" fillId="0" borderId="0"/>
    <xf numFmtId="0" fontId="2" fillId="0" borderId="0">
      <alignment vertical="center"/>
    </xf>
    <xf numFmtId="0" fontId="3" fillId="0" borderId="0"/>
    <xf numFmtId="43" fontId="2" fillId="0" borderId="0" applyFont="0" applyFill="0" applyBorder="0" applyAlignment="0" applyProtection="0">
      <alignment vertical="center"/>
    </xf>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11" fillId="0" borderId="0" applyFont="0" applyFill="0" applyBorder="0" applyAlignment="0" applyProtection="0"/>
  </cellStyleXfs>
  <cellXfs count="290">
    <xf numFmtId="0" fontId="0" fillId="0" borderId="0" xfId="0"/>
    <xf numFmtId="2" fontId="7" fillId="0" borderId="1" xfId="1" applyNumberFormat="1" applyFont="1" applyBorder="1" applyAlignment="1">
      <alignment horizontal="center" vertical="center"/>
    </xf>
    <xf numFmtId="0" fontId="7" fillId="0" borderId="1" xfId="1" applyFont="1" applyBorder="1" applyAlignment="1">
      <alignment horizontal="center" vertical="center"/>
    </xf>
    <xf numFmtId="166" fontId="7" fillId="0" borderId="1" xfId="1" applyNumberFormat="1" applyFont="1" applyBorder="1" applyAlignment="1">
      <alignment horizontal="center" vertical="center"/>
    </xf>
    <xf numFmtId="2" fontId="1" fillId="0" borderId="0" xfId="0" applyNumberFormat="1" applyFont="1" applyAlignment="1">
      <alignment horizontal="center"/>
    </xf>
    <xf numFmtId="0" fontId="1" fillId="0" borderId="0" xfId="0" applyFont="1" applyAlignment="1">
      <alignment horizontal="center"/>
    </xf>
    <xf numFmtId="2" fontId="6" fillId="3" borderId="1" xfId="1" applyNumberFormat="1" applyFont="1" applyFill="1" applyBorder="1" applyAlignment="1">
      <alignment horizontal="center" vertical="center"/>
    </xf>
    <xf numFmtId="0" fontId="6" fillId="3" borderId="1" xfId="1" applyFont="1" applyFill="1" applyBorder="1" applyAlignment="1">
      <alignment horizontal="center" vertical="center"/>
    </xf>
    <xf numFmtId="165" fontId="1" fillId="0" borderId="0" xfId="0" applyNumberFormat="1" applyFont="1" applyAlignment="1">
      <alignment horizontal="center"/>
    </xf>
    <xf numFmtId="0" fontId="1" fillId="0" borderId="0" xfId="0" applyFont="1" applyAlignment="1">
      <alignment horizontal="left"/>
    </xf>
    <xf numFmtId="0" fontId="8" fillId="0" borderId="0" xfId="4" applyFont="1" applyAlignment="1">
      <alignment horizontal="center" vertical="center" wrapText="1"/>
    </xf>
    <xf numFmtId="0" fontId="2" fillId="0" borderId="0" xfId="4"/>
    <xf numFmtId="0" fontId="9" fillId="0" borderId="0" xfId="4" applyFont="1" applyAlignment="1">
      <alignment wrapText="1"/>
    </xf>
    <xf numFmtId="0" fontId="6" fillId="6" borderId="1" xfId="0" applyFont="1" applyFill="1" applyBorder="1" applyAlignment="1">
      <alignment horizontal="center" vertical="center" wrapText="1"/>
    </xf>
    <xf numFmtId="0" fontId="9" fillId="0" borderId="0" xfId="4" applyFont="1" applyAlignment="1">
      <alignment horizontal="center" vertical="center" wrapText="1"/>
    </xf>
    <xf numFmtId="171" fontId="1" fillId="0" borderId="0" xfId="10" applyNumberFormat="1" applyFont="1" applyAlignment="1">
      <alignment horizontal="left"/>
    </xf>
    <xf numFmtId="0" fontId="8" fillId="0" borderId="0" xfId="4" applyFont="1" applyAlignment="1">
      <alignment vertical="center" wrapText="1"/>
    </xf>
    <xf numFmtId="0" fontId="12" fillId="0" borderId="0" xfId="4" applyFont="1" applyAlignment="1">
      <alignment vertical="center"/>
    </xf>
    <xf numFmtId="0" fontId="12" fillId="0" borderId="0" xfId="4" applyFont="1" applyAlignment="1">
      <alignment horizontal="center" vertical="center" wrapText="1"/>
    </xf>
    <xf numFmtId="0" fontId="7" fillId="0" borderId="0" xfId="4" applyFont="1"/>
    <xf numFmtId="171" fontId="7" fillId="0" borderId="0" xfId="10" applyNumberFormat="1" applyFont="1"/>
    <xf numFmtId="0" fontId="7" fillId="0" borderId="0" xfId="4" applyFont="1" applyAlignment="1">
      <alignment wrapText="1"/>
    </xf>
    <xf numFmtId="43" fontId="1" fillId="0" borderId="0" xfId="10" applyFont="1" applyAlignment="1">
      <alignment horizont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vertical="center"/>
    </xf>
    <xf numFmtId="43" fontId="10" fillId="0" borderId="0" xfId="10" applyFont="1" applyBorder="1" applyAlignment="1">
      <alignment vertical="center"/>
    </xf>
    <xf numFmtId="165" fontId="10" fillId="0" borderId="0" xfId="10" applyNumberFormat="1" applyFont="1" applyFill="1" applyBorder="1" applyAlignment="1">
      <alignment vertical="center" wrapText="1"/>
    </xf>
    <xf numFmtId="2" fontId="10" fillId="0" borderId="0" xfId="0" applyNumberFormat="1" applyFont="1" applyAlignment="1">
      <alignment vertical="center"/>
    </xf>
    <xf numFmtId="43" fontId="10" fillId="0" borderId="0" xfId="10" applyFont="1" applyFill="1" applyBorder="1" applyAlignment="1">
      <alignment vertical="center"/>
    </xf>
    <xf numFmtId="0" fontId="13" fillId="0" borderId="0" xfId="0" applyFont="1" applyAlignment="1">
      <alignment horizontal="left" vertical="center"/>
    </xf>
    <xf numFmtId="43" fontId="10" fillId="0" borderId="0" xfId="10" applyFont="1" applyFill="1" applyAlignment="1">
      <alignment vertical="center"/>
    </xf>
    <xf numFmtId="165" fontId="10" fillId="0" borderId="0" xfId="10" applyNumberFormat="1" applyFont="1" applyAlignment="1">
      <alignment vertical="center"/>
    </xf>
    <xf numFmtId="0" fontId="10" fillId="0" borderId="0" xfId="0" quotePrefix="1" applyFont="1" applyAlignment="1">
      <alignment horizontal="left" vertical="center"/>
    </xf>
    <xf numFmtId="165" fontId="15" fillId="0" borderId="0" xfId="10" applyNumberFormat="1" applyFont="1" applyFill="1" applyAlignment="1">
      <alignment vertical="center"/>
    </xf>
    <xf numFmtId="0" fontId="10" fillId="0" borderId="0" xfId="0" applyFont="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xf numFmtId="0" fontId="17" fillId="0" borderId="1" xfId="0" applyFont="1" applyBorder="1" applyAlignment="1">
      <alignment wrapText="1"/>
    </xf>
    <xf numFmtId="2" fontId="7" fillId="0" borderId="1" xfId="1" applyNumberFormat="1" applyFont="1" applyFill="1" applyBorder="1" applyAlignment="1">
      <alignment horizontal="center" vertical="center"/>
    </xf>
    <xf numFmtId="0" fontId="7" fillId="0" borderId="1" xfId="1" applyFont="1" applyFill="1" applyBorder="1" applyAlignment="1">
      <alignment horizontal="center" vertical="center"/>
    </xf>
    <xf numFmtId="166" fontId="7" fillId="0" borderId="1" xfId="1" applyNumberFormat="1" applyFont="1" applyFill="1" applyBorder="1" applyAlignment="1">
      <alignment horizontal="center" vertical="center"/>
    </xf>
    <xf numFmtId="0" fontId="1" fillId="0" borderId="0" xfId="0" applyFont="1"/>
    <xf numFmtId="2" fontId="18" fillId="0" borderId="0" xfId="0" applyNumberFormat="1" applyFont="1" applyAlignment="1">
      <alignment horizontal="left"/>
    </xf>
    <xf numFmtId="0" fontId="20" fillId="2" borderId="0" xfId="0" applyFont="1" applyFill="1" applyAlignment="1">
      <alignment horizontal="center"/>
    </xf>
    <xf numFmtId="0" fontId="20" fillId="3" borderId="0" xfId="0" applyFont="1" applyFill="1" applyAlignment="1">
      <alignment horizontal="center"/>
    </xf>
    <xf numFmtId="0" fontId="21" fillId="0" borderId="0" xfId="0" applyFont="1"/>
    <xf numFmtId="2" fontId="19" fillId="0" borderId="0" xfId="0" applyNumberFormat="1" applyFont="1" applyFill="1" applyAlignment="1">
      <alignment horizontal="left"/>
    </xf>
    <xf numFmtId="0" fontId="19" fillId="0" borderId="0" xfId="0" applyFont="1" applyFill="1" applyAlignment="1">
      <alignment horizontal="center"/>
    </xf>
    <xf numFmtId="0" fontId="20" fillId="0" borderId="0" xfId="0" applyFont="1" applyFill="1" applyAlignment="1">
      <alignment horizontal="center"/>
    </xf>
    <xf numFmtId="0" fontId="21" fillId="0" borderId="0" xfId="0" applyFont="1" applyFill="1"/>
    <xf numFmtId="18" fontId="20" fillId="0" borderId="1" xfId="0" applyNumberFormat="1" applyFont="1" applyBorder="1" applyAlignment="1">
      <alignment horizontal="center"/>
    </xf>
    <xf numFmtId="20" fontId="20" fillId="0" borderId="1" xfId="0" applyNumberFormat="1" applyFont="1" applyBorder="1" applyAlignment="1">
      <alignment horizontal="center"/>
    </xf>
    <xf numFmtId="14" fontId="20" fillId="0" borderId="1" xfId="0" applyNumberFormat="1" applyFont="1"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22" fillId="0" borderId="0" xfId="4" applyFont="1" applyAlignment="1">
      <alignment horizontal="center" vertical="center" wrapText="1"/>
    </xf>
    <xf numFmtId="0" fontId="24" fillId="0" borderId="0" xfId="4" applyFont="1"/>
    <xf numFmtId="0" fontId="25" fillId="0" borderId="0" xfId="4" applyFont="1" applyBorder="1" applyAlignment="1">
      <alignment vertical="center" wrapText="1"/>
    </xf>
    <xf numFmtId="2" fontId="20" fillId="4" borderId="0" xfId="0" applyNumberFormat="1" applyFont="1" applyFill="1" applyAlignment="1">
      <alignment horizontal="left"/>
    </xf>
    <xf numFmtId="0" fontId="19" fillId="3" borderId="0" xfId="0" applyFont="1" applyFill="1" applyAlignment="1">
      <alignment horizontal="center" vertical="center" wrapText="1"/>
    </xf>
    <xf numFmtId="0" fontId="19" fillId="0" borderId="0" xfId="0" applyFont="1" applyAlignment="1">
      <alignment horizontal="center" vertical="center"/>
    </xf>
    <xf numFmtId="0" fontId="20" fillId="0" borderId="0" xfId="0" applyFont="1" applyFill="1" applyAlignment="1">
      <alignment horizontal="left"/>
    </xf>
    <xf numFmtId="171" fontId="20" fillId="0" borderId="0" xfId="10" applyNumberFormat="1" applyFont="1" applyFill="1" applyAlignment="1">
      <alignment horizontal="left"/>
    </xf>
    <xf numFmtId="0" fontId="20" fillId="0" borderId="0" xfId="0" applyFont="1" applyFill="1" applyAlignment="1">
      <alignment horizontal="center" wrapText="1"/>
    </xf>
    <xf numFmtId="21" fontId="19" fillId="0" borderId="0" xfId="0" applyNumberFormat="1" applyFont="1" applyFill="1" applyAlignment="1">
      <alignment horizontal="center"/>
    </xf>
    <xf numFmtId="171" fontId="27" fillId="0" borderId="0" xfId="10" applyNumberFormat="1" applyFont="1" applyFill="1" applyAlignment="1">
      <alignment horizontal="center" wrapText="1"/>
    </xf>
    <xf numFmtId="43" fontId="27" fillId="0" borderId="0" xfId="10" applyFont="1" applyFill="1" applyAlignment="1">
      <alignment horizontal="center" wrapText="1"/>
    </xf>
    <xf numFmtId="165" fontId="20" fillId="0" borderId="0" xfId="0" applyNumberFormat="1" applyFont="1" applyFill="1" applyAlignment="1">
      <alignment horizontal="center"/>
    </xf>
    <xf numFmtId="0" fontId="19" fillId="3" borderId="1" xfId="0" applyFont="1" applyFill="1" applyBorder="1" applyAlignment="1">
      <alignment horizontal="center" vertical="center" wrapText="1"/>
    </xf>
    <xf numFmtId="171" fontId="19" fillId="3" borderId="1" xfId="1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168" fontId="19" fillId="3" borderId="1" xfId="3" applyNumberFormat="1" applyFont="1" applyFill="1" applyBorder="1" applyAlignment="1">
      <alignment horizontal="center" vertical="center" wrapText="1"/>
    </xf>
    <xf numFmtId="43" fontId="19" fillId="15" borderId="1" xfId="10" applyFont="1" applyFill="1" applyBorder="1" applyAlignment="1">
      <alignment horizontal="center" vertical="center" wrapText="1"/>
    </xf>
    <xf numFmtId="169" fontId="19" fillId="15" borderId="1" xfId="3" applyNumberFormat="1" applyFont="1" applyFill="1" applyBorder="1" applyAlignment="1">
      <alignment horizontal="center" vertical="center" wrapText="1"/>
    </xf>
    <xf numFmtId="169" fontId="19" fillId="3" borderId="1" xfId="3" applyNumberFormat="1" applyFont="1" applyFill="1" applyBorder="1" applyAlignment="1">
      <alignment horizontal="center" vertical="center" wrapText="1"/>
    </xf>
    <xf numFmtId="165" fontId="19" fillId="7" borderId="1" xfId="0" applyNumberFormat="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xf>
    <xf numFmtId="0" fontId="19" fillId="4" borderId="1" xfId="0" applyFont="1" applyFill="1" applyBorder="1" applyAlignment="1">
      <alignment horizontal="center" vertical="center" wrapText="1"/>
    </xf>
    <xf numFmtId="0" fontId="19" fillId="0" borderId="0" xfId="0" applyFont="1" applyAlignment="1">
      <alignment horizontal="left" vertical="center"/>
    </xf>
    <xf numFmtId="0" fontId="20" fillId="0" borderId="0" xfId="0" applyFont="1" applyAlignment="1">
      <alignment horizontal="left"/>
    </xf>
    <xf numFmtId="171" fontId="20" fillId="0" borderId="0" xfId="10" applyNumberFormat="1" applyFont="1" applyAlignment="1">
      <alignment horizontal="left"/>
    </xf>
    <xf numFmtId="0" fontId="28" fillId="0" borderId="1" xfId="0" applyFont="1" applyFill="1" applyBorder="1" applyAlignment="1">
      <alignment horizontal="center" vertical="center" wrapText="1"/>
    </xf>
    <xf numFmtId="171" fontId="28" fillId="0" borderId="1" xfId="10" applyNumberFormat="1" applyFont="1" applyFill="1" applyBorder="1" applyAlignment="1">
      <alignment horizontal="center" vertical="center" wrapText="1"/>
    </xf>
    <xf numFmtId="168" fontId="28" fillId="0" borderId="1" xfId="3" applyNumberFormat="1" applyFont="1" applyFill="1" applyBorder="1" applyAlignment="1">
      <alignment horizontal="center" vertical="center" wrapText="1"/>
    </xf>
    <xf numFmtId="43" fontId="28" fillId="0" borderId="1" xfId="10" applyFont="1" applyFill="1" applyBorder="1" applyAlignment="1">
      <alignment horizontal="center" vertical="center" wrapText="1"/>
    </xf>
    <xf numFmtId="169" fontId="28" fillId="0" borderId="1" xfId="3"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0" fontId="28" fillId="0" borderId="0" xfId="0" applyFont="1" applyFill="1" applyAlignment="1">
      <alignment horizontal="center" vertical="center" wrapText="1"/>
    </xf>
    <xf numFmtId="0" fontId="30" fillId="0" borderId="0" xfId="0" applyFont="1" applyAlignment="1">
      <alignment wrapText="1"/>
    </xf>
    <xf numFmtId="0" fontId="29" fillId="0" borderId="0" xfId="0" applyFont="1"/>
    <xf numFmtId="0" fontId="30" fillId="0" borderId="0" xfId="0" applyFont="1"/>
    <xf numFmtId="0" fontId="18" fillId="0" borderId="0" xfId="0" applyFont="1" applyAlignment="1">
      <alignment horizontal="left" vertical="center"/>
    </xf>
    <xf numFmtId="0" fontId="28" fillId="0" borderId="1" xfId="0" quotePrefix="1" applyFont="1" applyFill="1" applyBorder="1" applyAlignment="1">
      <alignment horizontal="center" vertical="center" wrapText="1"/>
    </xf>
    <xf numFmtId="0" fontId="1" fillId="0" borderId="0" xfId="0" applyFont="1" applyAlignment="1">
      <alignment horizontal="center" wrapText="1"/>
    </xf>
    <xf numFmtId="0" fontId="20" fillId="0" borderId="1" xfId="0" applyFont="1" applyBorder="1" applyAlignment="1">
      <alignment horizontal="center" vertical="center" wrapText="1"/>
    </xf>
    <xf numFmtId="0" fontId="7" fillId="0" borderId="1" xfId="1" applyFont="1" applyBorder="1" applyAlignment="1">
      <alignment horizontal="center" vertical="center" wrapText="1"/>
    </xf>
    <xf numFmtId="0" fontId="20" fillId="0" borderId="1" xfId="0" applyFont="1" applyBorder="1" applyAlignment="1">
      <alignment horizontal="left" vertical="center" wrapText="1"/>
    </xf>
    <xf numFmtId="171" fontId="20" fillId="0" borderId="1" xfId="10" applyNumberFormat="1" applyFont="1" applyBorder="1" applyAlignment="1">
      <alignment horizontal="left" vertical="center" wrapText="1"/>
    </xf>
    <xf numFmtId="14" fontId="20" fillId="0" borderId="1" xfId="10" applyNumberFormat="1" applyFont="1" applyBorder="1" applyAlignment="1">
      <alignment horizontal="left" vertical="center" wrapText="1"/>
    </xf>
    <xf numFmtId="14" fontId="20" fillId="0" borderId="1" xfId="1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21" fontId="20" fillId="0" borderId="1" xfId="0" applyNumberFormat="1" applyFont="1" applyBorder="1" applyAlignment="1">
      <alignment horizontal="center" vertical="center" wrapText="1"/>
    </xf>
    <xf numFmtId="43" fontId="20" fillId="0" borderId="1" xfId="10" applyNumberFormat="1" applyFont="1" applyFill="1" applyBorder="1" applyAlignment="1">
      <alignment horizontal="center" vertical="center" wrapText="1"/>
    </xf>
    <xf numFmtId="43" fontId="20" fillId="0" borderId="1" xfId="10" applyFont="1" applyBorder="1" applyAlignment="1">
      <alignment horizontal="center" vertical="center" wrapText="1"/>
    </xf>
    <xf numFmtId="170" fontId="20" fillId="0" borderId="1" xfId="10" applyNumberFormat="1" applyFont="1" applyBorder="1" applyAlignment="1">
      <alignment horizontal="center" vertical="center" wrapText="1"/>
    </xf>
    <xf numFmtId="169" fontId="20" fillId="0" borderId="1" xfId="3" applyNumberFormat="1" applyFont="1" applyBorder="1" applyAlignment="1">
      <alignment horizontal="center" vertical="center" wrapText="1"/>
    </xf>
    <xf numFmtId="165" fontId="20"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wrapText="1"/>
    </xf>
    <xf numFmtId="49" fontId="13" fillId="0" borderId="0" xfId="1" applyNumberFormat="1" applyFont="1" applyBorder="1" applyAlignment="1">
      <alignment horizontal="center" vertical="center" wrapText="1"/>
    </xf>
    <xf numFmtId="0" fontId="14" fillId="0" borderId="0" xfId="1" applyFont="1" applyBorder="1" applyAlignment="1">
      <alignment horizontal="center" vertical="center"/>
    </xf>
    <xf numFmtId="0" fontId="14" fillId="0" borderId="0" xfId="1" applyFont="1" applyBorder="1">
      <alignment vertical="center"/>
    </xf>
    <xf numFmtId="0" fontId="10" fillId="0" borderId="0" xfId="1" applyFont="1" applyBorder="1">
      <alignment vertical="center"/>
    </xf>
    <xf numFmtId="0" fontId="1" fillId="0" borderId="0" xfId="0" applyFont="1" applyAlignment="1"/>
    <xf numFmtId="0" fontId="32" fillId="0" borderId="0" xfId="4" applyFont="1" applyAlignment="1">
      <alignment vertical="center"/>
    </xf>
    <xf numFmtId="0" fontId="33" fillId="2" borderId="0" xfId="4" applyFont="1" applyFill="1" applyAlignment="1">
      <alignment horizontal="center" vertical="center" wrapText="1"/>
    </xf>
    <xf numFmtId="0" fontId="33" fillId="3" borderId="0" xfId="4" applyFont="1" applyFill="1" applyAlignment="1">
      <alignment horizontal="center" vertical="center" wrapText="1"/>
    </xf>
    <xf numFmtId="0" fontId="33" fillId="4" borderId="0" xfId="4" applyFont="1" applyFill="1" applyAlignment="1">
      <alignment horizontal="center" vertical="center" wrapText="1"/>
    </xf>
    <xf numFmtId="0" fontId="34" fillId="0" borderId="0" xfId="4" applyFont="1" applyAlignment="1">
      <alignment horizontal="center" vertical="center" wrapText="1"/>
    </xf>
    <xf numFmtId="0" fontId="34" fillId="6" borderId="1" xfId="4" applyNumberFormat="1" applyFont="1" applyFill="1" applyBorder="1" applyAlignment="1" applyProtection="1">
      <alignment horizontal="center" vertical="center" wrapText="1"/>
    </xf>
    <xf numFmtId="0" fontId="33" fillId="0" borderId="1" xfId="4" applyFont="1" applyBorder="1" applyAlignment="1">
      <alignment horizontal="center" vertical="center" wrapText="1"/>
    </xf>
    <xf numFmtId="0" fontId="33" fillId="0" borderId="1" xfId="4" applyFont="1" applyBorder="1" applyAlignment="1">
      <alignment vertical="center" wrapText="1"/>
    </xf>
    <xf numFmtId="167" fontId="33" fillId="0" borderId="1" xfId="4" applyNumberFormat="1" applyFont="1" applyBorder="1" applyAlignment="1">
      <alignment horizontal="center" vertical="center" wrapText="1"/>
    </xf>
    <xf numFmtId="14" fontId="33" fillId="0" borderId="1" xfId="4" applyNumberFormat="1" applyFont="1" applyBorder="1" applyAlignment="1">
      <alignment horizontal="center" vertical="center" wrapText="1"/>
    </xf>
    <xf numFmtId="0" fontId="34" fillId="3" borderId="1" xfId="4" applyNumberFormat="1" applyFont="1" applyFill="1" applyBorder="1" applyAlignment="1" applyProtection="1">
      <alignment horizontal="center" vertical="center" wrapText="1"/>
    </xf>
    <xf numFmtId="0" fontId="23" fillId="0" borderId="1" xfId="0" applyFont="1" applyBorder="1" applyAlignment="1">
      <alignment horizontal="center" vertical="center" wrapText="1"/>
    </xf>
    <xf numFmtId="0" fontId="35" fillId="0" borderId="0" xfId="4" applyFont="1" applyAlignment="1">
      <alignment vertical="center"/>
    </xf>
    <xf numFmtId="2" fontId="36" fillId="2" borderId="0" xfId="0" applyNumberFormat="1" applyFont="1" applyFill="1" applyAlignment="1">
      <alignment horizontal="center" vertical="center"/>
    </xf>
    <xf numFmtId="2" fontId="36" fillId="3" borderId="0" xfId="0" applyNumberFormat="1" applyFont="1" applyFill="1" applyAlignment="1">
      <alignment horizontal="center" vertical="center"/>
    </xf>
    <xf numFmtId="0" fontId="34" fillId="0" borderId="0" xfId="4" applyFont="1" applyAlignment="1">
      <alignment vertical="center"/>
    </xf>
    <xf numFmtId="171" fontId="34" fillId="0" borderId="0" xfId="10" applyNumberFormat="1" applyFont="1" applyAlignment="1">
      <alignment horizontal="center" vertical="center" wrapText="1"/>
    </xf>
    <xf numFmtId="0" fontId="33" fillId="0" borderId="0" xfId="4" applyFont="1"/>
    <xf numFmtId="0" fontId="33" fillId="0" borderId="0" xfId="4" applyFont="1" applyAlignment="1">
      <alignment wrapText="1"/>
    </xf>
    <xf numFmtId="20" fontId="33" fillId="0" borderId="1" xfId="4" applyNumberFormat="1" applyFont="1" applyBorder="1" applyAlignment="1">
      <alignment horizontal="center" vertical="center" wrapText="1"/>
    </xf>
    <xf numFmtId="177" fontId="33" fillId="0" borderId="1" xfId="10" applyNumberFormat="1" applyFont="1" applyFill="1" applyBorder="1" applyAlignment="1">
      <alignment horizontal="center" vertical="center"/>
    </xf>
    <xf numFmtId="0" fontId="33" fillId="0" borderId="1" xfId="4" applyFont="1" applyBorder="1" applyAlignment="1">
      <alignment horizontal="left" vertical="center" wrapText="1"/>
    </xf>
    <xf numFmtId="179" fontId="20" fillId="0" borderId="1" xfId="10" applyNumberFormat="1" applyFont="1" applyBorder="1" applyAlignment="1">
      <alignment horizontal="right" vertical="center" wrapText="1"/>
    </xf>
    <xf numFmtId="0" fontId="19" fillId="3" borderId="0" xfId="0" applyFont="1" applyFill="1" applyAlignment="1">
      <alignment horizontal="center" vertical="center"/>
    </xf>
    <xf numFmtId="0" fontId="19" fillId="2" borderId="0" xfId="0" applyFont="1" applyFill="1" applyAlignment="1">
      <alignment horizontal="center" vertical="center" wrapText="1"/>
    </xf>
    <xf numFmtId="0" fontId="30" fillId="0" borderId="11" xfId="0" applyFont="1" applyBorder="1" applyAlignment="1">
      <alignment vertical="center"/>
    </xf>
    <xf numFmtId="0" fontId="29" fillId="0" borderId="0" xfId="0" quotePrefix="1" applyFont="1" applyBorder="1" applyAlignment="1">
      <alignment vertical="center"/>
    </xf>
    <xf numFmtId="0" fontId="1" fillId="0" borderId="0" xfId="0" applyFont="1" applyBorder="1"/>
    <xf numFmtId="0" fontId="30" fillId="0" borderId="12" xfId="0" applyFont="1" applyBorder="1" applyAlignment="1">
      <alignment vertical="center" wrapText="1"/>
    </xf>
    <xf numFmtId="0" fontId="30" fillId="0" borderId="12" xfId="0" applyFont="1" applyBorder="1" applyAlignment="1">
      <alignment vertical="center"/>
    </xf>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29" fillId="0" borderId="14" xfId="0" applyFont="1" applyBorder="1" applyAlignment="1">
      <alignment vertical="center"/>
    </xf>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xf numFmtId="0" fontId="37" fillId="0" borderId="0" xfId="0" quotePrefix="1" applyFont="1" applyBorder="1" applyAlignment="1">
      <alignment vertical="center"/>
    </xf>
    <xf numFmtId="0" fontId="38" fillId="0" borderId="0" xfId="0" applyFont="1" applyBorder="1" applyAlignment="1">
      <alignment vertical="center"/>
    </xf>
    <xf numFmtId="0" fontId="39" fillId="4" borderId="0" xfId="0" applyFont="1" applyFill="1" applyBorder="1" applyAlignment="1">
      <alignment horizontal="center" vertical="center"/>
    </xf>
    <xf numFmtId="0" fontId="36" fillId="0" borderId="0" xfId="0" applyFont="1" applyBorder="1"/>
    <xf numFmtId="0" fontId="36" fillId="0" borderId="0" xfId="0" applyFont="1" applyBorder="1" applyAlignment="1">
      <alignment horizontal="center" vertical="center"/>
    </xf>
    <xf numFmtId="0" fontId="36" fillId="0" borderId="0" xfId="0" applyFont="1"/>
    <xf numFmtId="178" fontId="39" fillId="4" borderId="0" xfId="10" applyNumberFormat="1" applyFont="1" applyFill="1" applyBorder="1" applyAlignment="1">
      <alignment horizontal="center" vertical="center"/>
    </xf>
    <xf numFmtId="0" fontId="37" fillId="0" borderId="0" xfId="0" applyFont="1" applyBorder="1" applyAlignment="1">
      <alignment vertical="center"/>
    </xf>
    <xf numFmtId="0" fontId="41" fillId="0" borderId="0" xfId="0" applyFont="1" applyBorder="1"/>
    <xf numFmtId="0" fontId="36" fillId="0" borderId="17" xfId="0" applyFont="1" applyBorder="1"/>
    <xf numFmtId="0" fontId="36" fillId="0" borderId="0" xfId="0" quotePrefix="1" applyFont="1" applyBorder="1" applyAlignment="1"/>
    <xf numFmtId="0" fontId="36" fillId="0" borderId="0" xfId="0" quotePrefix="1" applyFont="1" applyBorder="1"/>
    <xf numFmtId="0" fontId="41" fillId="0" borderId="0" xfId="0" quotePrefix="1" applyFont="1" applyBorder="1"/>
    <xf numFmtId="0" fontId="36" fillId="0" borderId="0" xfId="0" applyFont="1" applyBorder="1" applyAlignment="1"/>
    <xf numFmtId="171" fontId="39" fillId="4" borderId="0" xfId="10" applyNumberFormat="1" applyFont="1" applyFill="1" applyBorder="1" applyAlignment="1">
      <alignment horizontal="center" vertical="center"/>
    </xf>
    <xf numFmtId="0" fontId="12" fillId="0" borderId="0" xfId="4" applyFont="1" applyAlignment="1">
      <alignment horizontal="right" vertical="center"/>
    </xf>
    <xf numFmtId="0" fontId="39" fillId="0" borderId="0" xfId="0" applyFont="1" applyFill="1" applyBorder="1" applyAlignment="1">
      <alignment horizontal="center" vertical="center"/>
    </xf>
    <xf numFmtId="0" fontId="42" fillId="17" borderId="22" xfId="0" applyFont="1" applyFill="1" applyBorder="1" applyAlignment="1">
      <alignment vertical="center"/>
    </xf>
    <xf numFmtId="0" fontId="42" fillId="17" borderId="23" xfId="0" applyFont="1" applyFill="1" applyBorder="1" applyAlignment="1">
      <alignment vertical="center"/>
    </xf>
    <xf numFmtId="0" fontId="42" fillId="17" borderId="24" xfId="0" applyFont="1" applyFill="1" applyBorder="1" applyAlignment="1">
      <alignment vertical="center"/>
    </xf>
    <xf numFmtId="14" fontId="6" fillId="0" borderId="21" xfId="0" applyNumberFormat="1" applyFont="1" applyFill="1" applyBorder="1" applyAlignment="1">
      <alignment horizontal="right" vertical="center"/>
    </xf>
    <xf numFmtId="172" fontId="7" fillId="0" borderId="21" xfId="10" applyNumberFormat="1" applyFont="1" applyFill="1" applyBorder="1" applyAlignment="1">
      <alignment horizontal="right" vertical="center"/>
    </xf>
    <xf numFmtId="14" fontId="6" fillId="4" borderId="21" xfId="0" applyNumberFormat="1" applyFont="1" applyFill="1" applyBorder="1" applyAlignment="1">
      <alignment horizontal="right" vertical="center"/>
    </xf>
    <xf numFmtId="0" fontId="6" fillId="12" borderId="1" xfId="1" applyFont="1" applyFill="1" applyBorder="1" applyAlignment="1" applyProtection="1">
      <alignment horizontal="center" vertical="center" shrinkToFit="1"/>
      <protection hidden="1"/>
    </xf>
    <xf numFmtId="2" fontId="6"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vertical="center"/>
    </xf>
    <xf numFmtId="174" fontId="6" fillId="12" borderId="1" xfId="1" applyNumberFormat="1" applyFont="1" applyFill="1" applyBorder="1" applyAlignment="1">
      <alignment horizontal="center" vertical="center" shrinkToFit="1"/>
    </xf>
    <xf numFmtId="165" fontId="6" fillId="13" borderId="3" xfId="10" applyNumberFormat="1"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1" xfId="0" applyFont="1" applyFill="1" applyBorder="1" applyAlignment="1">
      <alignment horizontal="center" vertical="center"/>
    </xf>
    <xf numFmtId="0" fontId="6" fillId="13" borderId="1" xfId="0" applyFont="1" applyFill="1" applyBorder="1" applyAlignment="1">
      <alignment horizontal="center" vertical="center" wrapText="1"/>
    </xf>
    <xf numFmtId="0" fontId="7" fillId="0" borderId="1" xfId="1" applyFont="1" applyBorder="1" applyAlignment="1">
      <alignment horizontal="center" vertical="center" wrapText="1" shrinkToFit="1"/>
    </xf>
    <xf numFmtId="0" fontId="7" fillId="0" borderId="1" xfId="1" applyFont="1" applyBorder="1" applyAlignment="1">
      <alignment horizontal="left" vertical="center" wrapText="1" shrinkToFit="1"/>
    </xf>
    <xf numFmtId="0" fontId="7" fillId="0" borderId="2" xfId="1" applyFont="1" applyBorder="1" applyAlignment="1">
      <alignment horizontal="center" vertical="center" wrapText="1" shrinkToFit="1"/>
    </xf>
    <xf numFmtId="0" fontId="7" fillId="11" borderId="1" xfId="0" applyFont="1" applyFill="1" applyBorder="1" applyAlignment="1">
      <alignment horizontal="center" vertical="center"/>
    </xf>
    <xf numFmtId="0" fontId="7" fillId="0" borderId="1" xfId="0" applyFont="1" applyBorder="1" applyAlignment="1">
      <alignment vertical="center"/>
    </xf>
    <xf numFmtId="14"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43" fontId="43" fillId="0" borderId="0" xfId="10" applyFont="1" applyBorder="1" applyAlignment="1">
      <alignment vertical="center"/>
    </xf>
    <xf numFmtId="172" fontId="7" fillId="0" borderId="1" xfId="10" applyNumberFormat="1" applyFont="1" applyFill="1" applyBorder="1" applyAlignment="1">
      <alignment horizontal="center" vertical="center" wrapText="1"/>
    </xf>
    <xf numFmtId="172" fontId="7"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2" fontId="7" fillId="0" borderId="0" xfId="0" applyNumberFormat="1" applyFont="1" applyAlignment="1">
      <alignment vertical="center" wrapText="1"/>
    </xf>
    <xf numFmtId="172" fontId="7" fillId="0" borderId="1" xfId="10" applyNumberFormat="1" applyFont="1" applyBorder="1" applyAlignment="1">
      <alignment vertical="center" wrapText="1"/>
    </xf>
    <xf numFmtId="172" fontId="7" fillId="0" borderId="1" xfId="0" applyNumberFormat="1" applyFont="1" applyBorder="1" applyAlignment="1">
      <alignment vertical="center" wrapText="1"/>
    </xf>
    <xf numFmtId="175" fontId="7" fillId="0" borderId="1" xfId="0" applyNumberFormat="1" applyFont="1" applyBorder="1" applyAlignment="1">
      <alignment vertical="center" wrapText="1"/>
    </xf>
    <xf numFmtId="49" fontId="7" fillId="0" borderId="0" xfId="0" applyNumberFormat="1" applyFont="1" applyAlignment="1">
      <alignment vertical="center" wrapText="1"/>
    </xf>
    <xf numFmtId="49" fontId="7" fillId="0" borderId="2" xfId="1" applyNumberFormat="1" applyFont="1" applyBorder="1" applyAlignment="1">
      <alignment horizontal="center" vertical="center" wrapText="1" shrinkToFit="1"/>
    </xf>
    <xf numFmtId="49" fontId="7" fillId="0" borderId="0" xfId="0" applyNumberFormat="1" applyFont="1" applyAlignment="1">
      <alignment vertical="center"/>
    </xf>
    <xf numFmtId="165" fontId="7" fillId="0" borderId="1" xfId="1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73" fontId="7" fillId="0" borderId="0" xfId="0" applyNumberFormat="1" applyFont="1" applyAlignment="1">
      <alignment vertical="center"/>
    </xf>
    <xf numFmtId="0" fontId="6" fillId="0" borderId="0" xfId="1" applyFont="1">
      <alignment vertical="center"/>
    </xf>
    <xf numFmtId="43" fontId="6" fillId="0" borderId="0" xfId="10" applyFont="1" applyBorder="1" applyAlignment="1">
      <alignment horizontal="center" vertical="center"/>
    </xf>
    <xf numFmtId="170" fontId="6" fillId="0" borderId="0" xfId="10" applyNumberFormat="1" applyFont="1" applyAlignment="1">
      <alignment vertical="center"/>
    </xf>
    <xf numFmtId="2" fontId="6" fillId="0" borderId="0" xfId="0" applyNumberFormat="1" applyFont="1" applyAlignment="1">
      <alignment horizontal="center" vertical="center"/>
    </xf>
    <xf numFmtId="0" fontId="6" fillId="0" borderId="0" xfId="0" applyFont="1" applyAlignment="1">
      <alignment horizontal="center" vertical="center"/>
    </xf>
    <xf numFmtId="43" fontId="7" fillId="0" borderId="0" xfId="10" applyFont="1" applyBorder="1" applyAlignment="1">
      <alignment vertical="center"/>
    </xf>
    <xf numFmtId="172" fontId="7" fillId="0" borderId="0" xfId="10" applyNumberFormat="1" applyFont="1" applyFill="1" applyBorder="1" applyAlignment="1">
      <alignment vertical="center" wrapText="1"/>
    </xf>
    <xf numFmtId="174" fontId="6" fillId="12" borderId="2" xfId="1" applyNumberFormat="1" applyFont="1" applyFill="1" applyBorder="1" applyAlignment="1">
      <alignment horizontal="center" vertical="center" shrinkToFit="1"/>
    </xf>
    <xf numFmtId="0" fontId="45" fillId="0" borderId="26" xfId="1" applyFont="1" applyBorder="1">
      <alignment vertical="center"/>
    </xf>
    <xf numFmtId="0" fontId="45" fillId="0" borderId="27" xfId="1" applyFont="1" applyBorder="1">
      <alignment vertical="center"/>
    </xf>
    <xf numFmtId="0" fontId="45" fillId="0" borderId="0" xfId="1" applyFont="1" applyBorder="1">
      <alignment vertical="center"/>
    </xf>
    <xf numFmtId="0" fontId="45" fillId="0" borderId="0" xfId="0" applyFont="1" applyBorder="1" applyAlignment="1">
      <alignment vertical="center"/>
    </xf>
    <xf numFmtId="0" fontId="46" fillId="0" borderId="0" xfId="0" applyFont="1" applyBorder="1" applyAlignment="1">
      <alignment horizontal="center" vertical="center"/>
    </xf>
    <xf numFmtId="0" fontId="46" fillId="0" borderId="0" xfId="0" applyFont="1" applyBorder="1" applyAlignment="1">
      <alignment vertical="center"/>
    </xf>
    <xf numFmtId="0" fontId="45" fillId="0" borderId="29" xfId="1" applyFont="1" applyBorder="1">
      <alignment vertical="center"/>
    </xf>
    <xf numFmtId="0" fontId="45" fillId="0" borderId="31" xfId="1" applyFont="1" applyBorder="1">
      <alignment vertical="center"/>
    </xf>
    <xf numFmtId="0" fontId="45" fillId="0" borderId="32" xfId="1" applyFont="1" applyBorder="1">
      <alignment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14" fontId="30" fillId="2" borderId="34" xfId="0" applyNumberFormat="1" applyFont="1" applyFill="1" applyBorder="1" applyAlignment="1">
      <alignment horizontal="center" vertical="center"/>
    </xf>
    <xf numFmtId="14" fontId="30" fillId="4" borderId="34" xfId="0" applyNumberFormat="1" applyFont="1" applyFill="1" applyBorder="1" applyAlignment="1">
      <alignment horizontal="center" vertical="center"/>
    </xf>
    <xf numFmtId="0" fontId="7" fillId="3" borderId="35" xfId="0" applyFont="1" applyFill="1" applyBorder="1" applyAlignment="1">
      <alignment horizontal="center" vertical="center"/>
    </xf>
    <xf numFmtId="0" fontId="47" fillId="0" borderId="0" xfId="0" applyFont="1" applyAlignment="1">
      <alignment vertical="center"/>
    </xf>
    <xf numFmtId="14" fontId="30" fillId="2" borderId="33" xfId="0" applyNumberFormat="1" applyFont="1" applyFill="1" applyBorder="1" applyAlignment="1">
      <alignment horizontal="center" vertical="center"/>
    </xf>
    <xf numFmtId="14" fontId="30" fillId="2" borderId="35" xfId="0" applyNumberFormat="1" applyFont="1" applyFill="1" applyBorder="1" applyAlignment="1">
      <alignment horizontal="center" vertical="center"/>
    </xf>
    <xf numFmtId="14" fontId="30" fillId="3" borderId="33" xfId="0" applyNumberFormat="1" applyFont="1" applyFill="1" applyBorder="1" applyAlignment="1">
      <alignment horizontal="center" vertical="center"/>
    </xf>
    <xf numFmtId="0" fontId="48" fillId="0" borderId="0" xfId="4" applyFont="1" applyAlignment="1">
      <alignment horizontal="right" vertical="center"/>
    </xf>
    <xf numFmtId="171" fontId="48" fillId="0" borderId="0" xfId="10" applyNumberFormat="1" applyFont="1" applyAlignment="1">
      <alignment horizontal="left" vertical="center" wrapText="1"/>
    </xf>
    <xf numFmtId="0" fontId="49" fillId="0" borderId="26" xfId="1" applyFont="1" applyBorder="1" applyAlignment="1">
      <alignment horizontal="center" vertical="center"/>
    </xf>
    <xf numFmtId="0" fontId="49" fillId="0" borderId="0" xfId="1" applyFont="1" applyBorder="1" applyAlignment="1">
      <alignment horizontal="center" vertical="center"/>
    </xf>
    <xf numFmtId="0" fontId="49" fillId="0" borderId="31" xfId="1" applyFont="1" applyBorder="1" applyAlignment="1">
      <alignment horizontal="center" vertical="center"/>
    </xf>
    <xf numFmtId="0" fontId="49" fillId="0" borderId="26" xfId="1" applyFont="1" applyBorder="1">
      <alignment vertical="center"/>
    </xf>
    <xf numFmtId="0" fontId="49" fillId="0" borderId="0" xfId="1" applyFont="1" applyBorder="1">
      <alignment vertical="center"/>
    </xf>
    <xf numFmtId="0" fontId="17" fillId="0" borderId="0" xfId="0" applyFont="1" applyAlignment="1">
      <alignment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17" fillId="2" borderId="0" xfId="0" applyFont="1" applyFill="1" applyAlignment="1">
      <alignment horizontal="center" vertical="center"/>
    </xf>
    <xf numFmtId="0" fontId="16" fillId="0" borderId="0" xfId="0" applyFont="1" applyAlignment="1">
      <alignment vertical="center"/>
    </xf>
    <xf numFmtId="0" fontId="1" fillId="0" borderId="36" xfId="0" applyFont="1" applyBorder="1"/>
    <xf numFmtId="0" fontId="4" fillId="0" borderId="38" xfId="0" applyFont="1" applyBorder="1"/>
    <xf numFmtId="0" fontId="4" fillId="0" borderId="37" xfId="0" applyFont="1" applyBorder="1"/>
    <xf numFmtId="0" fontId="1" fillId="0" borderId="37" xfId="0" applyFont="1" applyBorder="1"/>
    <xf numFmtId="0" fontId="1" fillId="0" borderId="0" xfId="0" quotePrefix="1" applyFont="1" applyBorder="1"/>
    <xf numFmtId="0" fontId="1" fillId="0" borderId="39" xfId="0" applyFont="1" applyBorder="1"/>
    <xf numFmtId="0" fontId="1" fillId="0" borderId="40" xfId="0" applyFont="1" applyBorder="1"/>
    <xf numFmtId="0" fontId="1" fillId="0" borderId="41" xfId="0" applyFont="1" applyBorder="1"/>
    <xf numFmtId="0" fontId="1" fillId="0" borderId="0" xfId="0" applyFont="1" applyBorder="1" applyAlignment="1"/>
    <xf numFmtId="0" fontId="1" fillId="0" borderId="40" xfId="0" applyFont="1" applyBorder="1" applyAlignment="1"/>
    <xf numFmtId="0" fontId="1" fillId="0" borderId="41" xfId="0" applyFont="1" applyBorder="1" applyAlignment="1"/>
    <xf numFmtId="0" fontId="1" fillId="0" borderId="42" xfId="0" applyFont="1" applyBorder="1"/>
    <xf numFmtId="0" fontId="1" fillId="0" borderId="43" xfId="0" applyFont="1" applyBorder="1"/>
    <xf numFmtId="0" fontId="1" fillId="0" borderId="44" xfId="0" applyFont="1" applyBorder="1"/>
    <xf numFmtId="0" fontId="4" fillId="0" borderId="0" xfId="0" applyFont="1" applyBorder="1"/>
    <xf numFmtId="0" fontId="52" fillId="0" borderId="0" xfId="0" applyFont="1" applyBorder="1"/>
    <xf numFmtId="172" fontId="7" fillId="0" borderId="0" xfId="10" applyNumberFormat="1" applyFont="1" applyFill="1" applyBorder="1" applyAlignment="1">
      <alignment horizontal="right" vertical="center"/>
    </xf>
    <xf numFmtId="0" fontId="36" fillId="0" borderId="16" xfId="0" applyFont="1" applyBorder="1"/>
    <xf numFmtId="0" fontId="50" fillId="16" borderId="8" xfId="0" applyFont="1" applyFill="1" applyBorder="1" applyAlignment="1">
      <alignment horizontal="left"/>
    </xf>
    <xf numFmtId="0" fontId="50" fillId="16" borderId="9" xfId="0" applyFont="1" applyFill="1" applyBorder="1" applyAlignment="1">
      <alignment horizontal="left"/>
    </xf>
    <xf numFmtId="0" fontId="50" fillId="16" borderId="10" xfId="0" applyFont="1" applyFill="1" applyBorder="1" applyAlignment="1">
      <alignment horizontal="left"/>
    </xf>
    <xf numFmtId="0" fontId="6" fillId="13" borderId="1" xfId="0" applyFont="1" applyFill="1" applyBorder="1" applyAlignment="1">
      <alignment horizontal="center" vertical="center" wrapText="1"/>
    </xf>
    <xf numFmtId="165" fontId="6" fillId="13" borderId="6" xfId="10" applyNumberFormat="1" applyFont="1" applyFill="1" applyBorder="1" applyAlignment="1">
      <alignment horizontal="center" vertical="center" wrapText="1"/>
    </xf>
    <xf numFmtId="165" fontId="6" fillId="13" borderId="7" xfId="10" applyNumberFormat="1" applyFont="1" applyFill="1" applyBorder="1" applyAlignment="1">
      <alignment horizontal="center" vertical="center" wrapText="1"/>
    </xf>
    <xf numFmtId="165" fontId="6" fillId="13" borderId="2" xfId="10" applyNumberFormat="1" applyFont="1" applyFill="1" applyBorder="1" applyAlignment="1">
      <alignment horizontal="center" vertical="center" wrapText="1"/>
    </xf>
    <xf numFmtId="49" fontId="44" fillId="17" borderId="25" xfId="1" applyNumberFormat="1" applyFont="1" applyFill="1" applyBorder="1" applyAlignment="1">
      <alignment horizontal="center" vertical="center" wrapText="1"/>
    </xf>
    <xf numFmtId="49" fontId="44" fillId="17" borderId="28" xfId="1" applyNumberFormat="1" applyFont="1" applyFill="1" applyBorder="1" applyAlignment="1">
      <alignment horizontal="center" vertical="center" wrapText="1"/>
    </xf>
    <xf numFmtId="49" fontId="44" fillId="17" borderId="30" xfId="1" applyNumberFormat="1" applyFont="1" applyFill="1" applyBorder="1" applyAlignment="1">
      <alignment horizontal="center" vertical="center" wrapText="1"/>
    </xf>
    <xf numFmtId="0" fontId="6" fillId="12" borderId="3" xfId="1" applyFont="1" applyFill="1" applyBorder="1" applyAlignment="1" applyProtection="1">
      <alignment horizontal="center" vertical="center" wrapText="1" shrinkToFit="1"/>
      <protection hidden="1"/>
    </xf>
    <xf numFmtId="0" fontId="6" fillId="12" borderId="5" xfId="1" applyFont="1" applyFill="1" applyBorder="1" applyAlignment="1" applyProtection="1">
      <alignment horizontal="center" vertical="center" wrapText="1" shrinkToFit="1"/>
      <protection hidden="1"/>
    </xf>
    <xf numFmtId="0" fontId="6" fillId="12" borderId="3" xfId="1" applyFont="1" applyFill="1" applyBorder="1" applyAlignment="1" applyProtection="1">
      <alignment horizontal="center" vertical="center" shrinkToFit="1"/>
      <protection hidden="1"/>
    </xf>
    <xf numFmtId="0" fontId="6" fillId="12" borderId="5" xfId="1" applyFont="1" applyFill="1" applyBorder="1" applyAlignment="1" applyProtection="1">
      <alignment horizontal="center" vertical="center" shrinkToFit="1"/>
      <protection hidden="1"/>
    </xf>
    <xf numFmtId="43" fontId="6" fillId="0" borderId="4" xfId="10" applyFont="1" applyBorder="1" applyAlignment="1">
      <alignment horizontal="center" vertical="center"/>
    </xf>
    <xf numFmtId="0" fontId="6" fillId="12" borderId="3" xfId="1" applyFont="1" applyFill="1" applyBorder="1" applyAlignment="1">
      <alignment horizontal="center" vertical="center" wrapText="1"/>
    </xf>
    <xf numFmtId="0" fontId="6" fillId="12" borderId="5" xfId="1" applyFont="1" applyFill="1" applyBorder="1" applyAlignment="1">
      <alignment horizontal="center" vertical="center" wrapText="1"/>
    </xf>
    <xf numFmtId="0" fontId="6" fillId="12" borderId="1" xfId="1" applyFont="1" applyFill="1" applyBorder="1" applyAlignment="1">
      <alignment horizontal="center" vertical="center" wrapText="1"/>
    </xf>
  </cellXfs>
  <cellStyles count="11">
    <cellStyle name="Comma" xfId="10" builtinId="3"/>
    <cellStyle name="Comma [0] 2" xfId="9" xr:uid="{00000000-0005-0000-0000-000000000000}"/>
    <cellStyle name="Comma 2" xfId="3" xr:uid="{00000000-0005-0000-0000-000001000000}"/>
    <cellStyle name="Comma 3" xfId="8" xr:uid="{00000000-0005-0000-0000-000002000000}"/>
    <cellStyle name="Currency [0] 2" xfId="7" xr:uid="{00000000-0005-0000-0000-000003000000}"/>
    <cellStyle name="Currency 2" xfId="6" xr:uid="{00000000-0005-0000-0000-000004000000}"/>
    <cellStyle name="Normal" xfId="0" builtinId="0"/>
    <cellStyle name="Normal 2" xfId="1" xr:uid="{00000000-0005-0000-0000-000006000000}"/>
    <cellStyle name="Normal 3" xfId="2" xr:uid="{00000000-0005-0000-0000-000007000000}"/>
    <cellStyle name="Normal 4" xfId="4" xr:uid="{00000000-0005-0000-0000-000008000000}"/>
    <cellStyle name="Percent 2" xfId="5" xr:uid="{00000000-0005-0000-0000-000009000000}"/>
  </cellStyles>
  <dxfs count="12">
    <dxf>
      <font>
        <condense val="0"/>
        <extend val="0"/>
      </font>
      <fill>
        <patternFill>
          <bgColor indexed="45"/>
        </patternFill>
      </fill>
    </dxf>
    <dxf>
      <font>
        <condense val="0"/>
        <extend val="0"/>
      </font>
      <fill>
        <patternFill>
          <bgColor indexed="43"/>
        </patternFill>
      </fill>
    </dxf>
    <dxf>
      <font>
        <condense val="0"/>
        <extend val="0"/>
      </font>
      <fill>
        <patternFill>
          <bgColor indexed="45"/>
        </patternFill>
      </fill>
    </dxf>
    <dxf>
      <font>
        <condense val="0"/>
        <extend val="0"/>
      </font>
      <fill>
        <patternFill>
          <bgColor indexed="43"/>
        </patternFill>
      </fill>
    </dxf>
    <dxf>
      <font>
        <condense val="0"/>
        <extend val="0"/>
      </font>
      <fill>
        <patternFill>
          <bgColor indexed="45"/>
        </patternFill>
      </fill>
    </dxf>
    <dxf>
      <font>
        <condense val="0"/>
        <extend val="0"/>
      </font>
      <fill>
        <patternFill>
          <bgColor indexed="43"/>
        </patternFill>
      </fill>
    </dxf>
    <dxf>
      <font>
        <condense val="0"/>
        <extend val="0"/>
      </font>
      <fill>
        <patternFill>
          <bgColor indexed="45"/>
        </patternFill>
      </fill>
    </dxf>
    <dxf>
      <font>
        <condense val="0"/>
        <extend val="0"/>
      </font>
      <fill>
        <patternFill>
          <bgColor indexed="43"/>
        </patternFill>
      </fill>
    </dxf>
    <dxf>
      <font>
        <condense val="0"/>
        <extend val="0"/>
      </font>
      <fill>
        <patternFill>
          <bgColor indexed="45"/>
        </patternFill>
      </fill>
    </dxf>
    <dxf>
      <font>
        <condense val="0"/>
        <extend val="0"/>
      </font>
      <fill>
        <patternFill>
          <bgColor indexed="43"/>
        </patternFill>
      </fill>
    </dxf>
    <dxf>
      <font>
        <condense val="0"/>
        <extend val="0"/>
      </font>
      <fill>
        <patternFill>
          <bgColor indexed="45"/>
        </patternFill>
      </fill>
    </dxf>
    <dxf>
      <font>
        <condense val="0"/>
        <extend val="0"/>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ANLE.HR/1.%20CONG%20VIEC/PHARVINA/DU%20LIEU%20CHUNG/Nhan%20su%20TM/Cham%20cong%20TM/Thang%2011.2019/TM-%20Bang%20cham%20cong%20T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ướng dẫn chấm công"/>
      <sheetName val="Bảng công"/>
      <sheetName val="Manual"/>
      <sheetName val="Data"/>
      <sheetName val="Sheet1"/>
    </sheetNames>
    <sheetDataSet>
      <sheetData sheetId="0"/>
      <sheetData sheetId="1"/>
      <sheetData sheetId="2">
        <row r="2">
          <cell r="A2" t="str">
            <v>X:8</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D8C5D-1A05-4289-86E3-94CDBB3E0EB0}">
  <sheetPr>
    <tabColor rgb="FFFFFF00"/>
  </sheetPr>
  <dimension ref="B1:M112"/>
  <sheetViews>
    <sheetView showGridLines="0" tabSelected="1" zoomScaleNormal="100" workbookViewId="0">
      <selection activeCell="J7" sqref="J7"/>
    </sheetView>
  </sheetViews>
  <sheetFormatPr defaultColWidth="8.77734375" defaultRowHeight="13.8" x14ac:dyDescent="0.25"/>
  <cols>
    <col min="1" max="1" width="6.21875" style="43" customWidth="1"/>
    <col min="2" max="2" width="3.6640625" style="43" customWidth="1"/>
    <col min="3" max="3" width="7.88671875" style="43" customWidth="1"/>
    <col min="4" max="4" width="9.44140625" style="43" customWidth="1"/>
    <col min="5" max="5" width="14.6640625" style="43" customWidth="1"/>
    <col min="6" max="6" width="7.21875" style="43" customWidth="1"/>
    <col min="7" max="7" width="19" style="43" customWidth="1"/>
    <col min="8" max="8" width="13.44140625" style="43" customWidth="1"/>
    <col min="9" max="9" width="18" style="43" customWidth="1"/>
    <col min="10" max="10" width="17.77734375" style="43" customWidth="1"/>
    <col min="11" max="11" width="27.6640625" style="43" customWidth="1"/>
    <col min="12" max="12" width="11.6640625" style="43" customWidth="1"/>
    <col min="13" max="13" width="7.33203125" style="43" customWidth="1"/>
    <col min="14" max="14" width="11.77734375" style="43" bestFit="1" customWidth="1"/>
    <col min="15" max="15" width="12.21875" style="43" bestFit="1" customWidth="1"/>
    <col min="16" max="17" width="11.44140625" style="43" customWidth="1"/>
    <col min="18" max="18" width="21" style="43" customWidth="1"/>
    <col min="19" max="19" width="11.44140625" style="43" customWidth="1"/>
    <col min="20" max="16384" width="8.77734375" style="43"/>
  </cols>
  <sheetData>
    <row r="1" spans="2:13" ht="14.4" thickBot="1" x14ac:dyDescent="0.3"/>
    <row r="2" spans="2:13" ht="35.4" thickTop="1" x14ac:dyDescent="0.55000000000000004">
      <c r="B2" s="272" t="s">
        <v>270</v>
      </c>
      <c r="C2" s="273"/>
      <c r="D2" s="273"/>
      <c r="E2" s="273"/>
      <c r="F2" s="273"/>
      <c r="G2" s="273"/>
      <c r="H2" s="273"/>
      <c r="I2" s="273"/>
      <c r="J2" s="273"/>
      <c r="K2" s="273"/>
      <c r="L2" s="273"/>
      <c r="M2" s="274"/>
    </row>
    <row r="3" spans="2:13" ht="9.6" customHeight="1" x14ac:dyDescent="0.25">
      <c r="B3" s="146"/>
      <c r="C3" s="147"/>
      <c r="D3" s="147"/>
      <c r="E3" s="147"/>
      <c r="F3" s="147"/>
      <c r="G3" s="147"/>
      <c r="H3" s="147"/>
      <c r="I3" s="147"/>
      <c r="J3" s="147"/>
      <c r="K3" s="147"/>
      <c r="L3" s="147"/>
      <c r="M3" s="149"/>
    </row>
    <row r="4" spans="2:13" ht="15.6" x14ac:dyDescent="0.3">
      <c r="B4" s="146"/>
      <c r="C4" s="162" t="s">
        <v>291</v>
      </c>
      <c r="D4" s="163"/>
      <c r="F4" s="164">
        <v>5</v>
      </c>
      <c r="G4" s="162" t="s">
        <v>292</v>
      </c>
      <c r="H4" s="163"/>
      <c r="I4" s="163"/>
      <c r="J4" s="166"/>
      <c r="K4" s="165"/>
      <c r="L4" s="165"/>
      <c r="M4" s="149"/>
    </row>
    <row r="5" spans="2:13" ht="6" customHeight="1" x14ac:dyDescent="0.3">
      <c r="B5" s="146"/>
      <c r="C5" s="162"/>
      <c r="D5" s="163"/>
      <c r="F5" s="163"/>
      <c r="G5" s="162"/>
      <c r="H5" s="163"/>
      <c r="I5" s="163"/>
      <c r="J5" s="166"/>
      <c r="K5" s="165"/>
      <c r="L5" s="165"/>
      <c r="M5" s="149"/>
    </row>
    <row r="6" spans="2:13" ht="15.6" x14ac:dyDescent="0.3">
      <c r="B6" s="146"/>
      <c r="C6" s="162" t="s">
        <v>293</v>
      </c>
      <c r="D6" s="163"/>
      <c r="F6" s="164">
        <v>2</v>
      </c>
      <c r="G6" s="162" t="s">
        <v>313</v>
      </c>
      <c r="H6" s="167"/>
      <c r="I6" s="162" t="s">
        <v>296</v>
      </c>
      <c r="J6" s="164">
        <v>60</v>
      </c>
      <c r="K6" s="163" t="s">
        <v>294</v>
      </c>
      <c r="L6" s="163"/>
      <c r="M6" s="149"/>
    </row>
    <row r="7" spans="2:13" ht="6" customHeight="1" x14ac:dyDescent="0.3">
      <c r="B7" s="146"/>
      <c r="C7" s="162"/>
      <c r="D7" s="163"/>
      <c r="F7" s="163"/>
      <c r="G7" s="162"/>
      <c r="H7" s="163"/>
      <c r="I7" s="163"/>
      <c r="J7" s="166"/>
      <c r="K7" s="165"/>
      <c r="L7" s="165"/>
      <c r="M7" s="149"/>
    </row>
    <row r="8" spans="2:13" ht="15.6" x14ac:dyDescent="0.3">
      <c r="B8" s="146"/>
      <c r="C8" s="162" t="s">
        <v>295</v>
      </c>
      <c r="D8" s="163"/>
      <c r="F8" s="178">
        <f>F4+1</f>
        <v>6</v>
      </c>
      <c r="G8" s="162" t="s">
        <v>297</v>
      </c>
      <c r="H8" s="164">
        <v>59</v>
      </c>
      <c r="I8" s="162" t="s">
        <v>298</v>
      </c>
      <c r="J8" s="168">
        <v>2000</v>
      </c>
      <c r="K8" s="165" t="s">
        <v>299</v>
      </c>
      <c r="L8" s="165"/>
      <c r="M8" s="150"/>
    </row>
    <row r="9" spans="2:13" ht="6" customHeight="1" x14ac:dyDescent="0.3">
      <c r="B9" s="146"/>
      <c r="C9" s="162"/>
      <c r="D9" s="163"/>
      <c r="F9" s="163"/>
      <c r="G9" s="162"/>
      <c r="H9" s="163"/>
      <c r="I9" s="163"/>
      <c r="J9" s="166"/>
      <c r="K9" s="165"/>
      <c r="L9" s="165"/>
      <c r="M9" s="149"/>
    </row>
    <row r="10" spans="2:13" ht="15.6" x14ac:dyDescent="0.3">
      <c r="B10" s="151"/>
      <c r="C10" s="162" t="s">
        <v>295</v>
      </c>
      <c r="D10" s="165"/>
      <c r="F10" s="178">
        <f>H8+1</f>
        <v>60</v>
      </c>
      <c r="G10" s="162" t="s">
        <v>300</v>
      </c>
      <c r="H10" s="165"/>
      <c r="I10" s="165"/>
      <c r="J10" s="165"/>
      <c r="K10" s="165"/>
      <c r="L10" s="165"/>
      <c r="M10" s="152"/>
    </row>
    <row r="11" spans="2:13" ht="6" customHeight="1" x14ac:dyDescent="0.3">
      <c r="B11" s="146"/>
      <c r="C11" s="162"/>
      <c r="D11" s="163"/>
      <c r="F11" s="163"/>
      <c r="G11" s="162"/>
      <c r="H11" s="163"/>
      <c r="I11" s="163"/>
      <c r="J11" s="166"/>
      <c r="K11" s="165"/>
      <c r="L11" s="165"/>
      <c r="M11" s="149"/>
    </row>
    <row r="12" spans="2:13" ht="16.2" x14ac:dyDescent="0.3">
      <c r="B12" s="151"/>
      <c r="C12" s="162" t="s">
        <v>314</v>
      </c>
      <c r="D12" s="165"/>
      <c r="E12" s="165"/>
      <c r="F12" s="164">
        <v>2</v>
      </c>
      <c r="G12" s="162" t="s">
        <v>303</v>
      </c>
      <c r="H12" s="165"/>
      <c r="I12" s="165"/>
      <c r="J12" s="165"/>
      <c r="K12" s="165"/>
      <c r="L12" s="165"/>
      <c r="M12" s="152"/>
    </row>
    <row r="13" spans="2:13" ht="6" customHeight="1" x14ac:dyDescent="0.3">
      <c r="B13" s="146"/>
      <c r="C13" s="162"/>
      <c r="D13" s="163"/>
      <c r="F13" s="163"/>
      <c r="G13" s="162"/>
      <c r="H13" s="163"/>
      <c r="I13" s="163"/>
      <c r="J13" s="166"/>
      <c r="K13" s="165"/>
      <c r="L13" s="165"/>
      <c r="M13" s="149"/>
    </row>
    <row r="14" spans="2:13" ht="15.6" x14ac:dyDescent="0.3">
      <c r="B14" s="151"/>
      <c r="C14" s="162" t="s">
        <v>301</v>
      </c>
      <c r="D14" s="165"/>
      <c r="E14" s="165"/>
      <c r="F14" s="164">
        <v>3</v>
      </c>
      <c r="G14" s="162" t="s">
        <v>304</v>
      </c>
      <c r="H14" s="176">
        <v>50000</v>
      </c>
      <c r="I14" s="162" t="s">
        <v>302</v>
      </c>
      <c r="J14" s="165"/>
      <c r="K14" s="165"/>
      <c r="L14" s="165"/>
      <c r="M14" s="152"/>
    </row>
    <row r="15" spans="2:13" ht="6" customHeight="1" x14ac:dyDescent="0.3">
      <c r="B15" s="146"/>
      <c r="C15" s="162"/>
      <c r="D15" s="163"/>
      <c r="F15" s="163"/>
      <c r="G15" s="162"/>
      <c r="H15" s="163"/>
      <c r="I15" s="163"/>
      <c r="J15" s="166"/>
      <c r="K15" s="165"/>
      <c r="L15" s="165"/>
      <c r="M15" s="149"/>
    </row>
    <row r="16" spans="2:13" ht="15.6" x14ac:dyDescent="0.3">
      <c r="B16" s="151"/>
      <c r="C16" s="169" t="s">
        <v>190</v>
      </c>
      <c r="D16" s="165"/>
      <c r="E16" s="165"/>
      <c r="F16" s="165"/>
      <c r="G16" s="165"/>
      <c r="H16" s="165"/>
      <c r="I16" s="165"/>
      <c r="J16" s="253" t="s">
        <v>332</v>
      </c>
      <c r="K16" s="249"/>
      <c r="L16" s="249"/>
      <c r="M16" s="152"/>
    </row>
    <row r="17" spans="2:13" ht="15.6" x14ac:dyDescent="0.3">
      <c r="B17" s="151"/>
      <c r="C17" s="165"/>
      <c r="D17" s="169" t="s">
        <v>191</v>
      </c>
      <c r="E17" s="165"/>
      <c r="F17" s="165"/>
      <c r="G17" s="165"/>
      <c r="H17" s="165"/>
      <c r="I17" s="165"/>
      <c r="J17" s="250" t="s">
        <v>91</v>
      </c>
      <c r="K17" s="249" t="s">
        <v>333</v>
      </c>
      <c r="L17" s="249"/>
      <c r="M17" s="152"/>
    </row>
    <row r="18" spans="2:13" ht="15.6" x14ac:dyDescent="0.3">
      <c r="B18" s="151"/>
      <c r="C18" s="165"/>
      <c r="D18" s="169" t="s">
        <v>192</v>
      </c>
      <c r="E18" s="165"/>
      <c r="F18" s="165"/>
      <c r="G18" s="165"/>
      <c r="H18" s="165"/>
      <c r="I18" s="165"/>
      <c r="J18" s="251" t="s">
        <v>249</v>
      </c>
      <c r="K18" s="249" t="s">
        <v>334</v>
      </c>
      <c r="L18" s="249"/>
      <c r="M18" s="152"/>
    </row>
    <row r="19" spans="2:13" ht="15.6" x14ac:dyDescent="0.3">
      <c r="B19" s="151"/>
      <c r="C19" s="165"/>
      <c r="D19" s="169" t="s">
        <v>193</v>
      </c>
      <c r="E19" s="165"/>
      <c r="F19" s="165"/>
      <c r="G19" s="165"/>
      <c r="H19" s="165"/>
      <c r="I19" s="165"/>
      <c r="J19" s="252" t="s">
        <v>335</v>
      </c>
      <c r="K19" s="249" t="s">
        <v>336</v>
      </c>
      <c r="L19" s="249"/>
      <c r="M19" s="152"/>
    </row>
    <row r="20" spans="2:13" ht="14.4" thickBot="1" x14ac:dyDescent="0.3">
      <c r="B20" s="153"/>
      <c r="C20" s="154"/>
      <c r="D20" s="155"/>
      <c r="E20" s="154"/>
      <c r="F20" s="154"/>
      <c r="G20" s="154"/>
      <c r="H20" s="154"/>
      <c r="I20" s="154"/>
      <c r="J20" s="154"/>
      <c r="K20" s="154"/>
      <c r="L20" s="154"/>
      <c r="M20" s="156"/>
    </row>
    <row r="21" spans="2:13" ht="9" customHeight="1" thickTop="1" thickBot="1" x14ac:dyDescent="0.3"/>
    <row r="22" spans="2:13" ht="35.4" thickTop="1" x14ac:dyDescent="0.55000000000000004">
      <c r="B22" s="272" t="s">
        <v>254</v>
      </c>
      <c r="C22" s="273"/>
      <c r="D22" s="273"/>
      <c r="E22" s="273"/>
      <c r="F22" s="273"/>
      <c r="G22" s="273"/>
      <c r="H22" s="273"/>
      <c r="I22" s="273"/>
      <c r="J22" s="273"/>
      <c r="K22" s="273"/>
      <c r="L22" s="273"/>
      <c r="M22" s="274"/>
    </row>
    <row r="23" spans="2:13" x14ac:dyDescent="0.25">
      <c r="B23" s="157"/>
      <c r="C23" s="148"/>
      <c r="D23" s="148"/>
      <c r="E23" s="148"/>
      <c r="F23" s="148"/>
      <c r="G23" s="148"/>
      <c r="H23" s="148"/>
      <c r="I23" s="148"/>
      <c r="J23" s="148"/>
      <c r="K23" s="148"/>
      <c r="L23" s="148"/>
      <c r="M23" s="158"/>
    </row>
    <row r="24" spans="2:13" s="167" customFormat="1" ht="15.6" x14ac:dyDescent="0.3">
      <c r="B24" s="271"/>
      <c r="C24" s="173" t="s">
        <v>362</v>
      </c>
      <c r="D24" s="165"/>
      <c r="E24" s="165"/>
      <c r="F24" s="165"/>
      <c r="G24" s="165"/>
      <c r="H24" s="165"/>
      <c r="I24" s="165"/>
      <c r="J24" s="165"/>
      <c r="K24" s="165"/>
      <c r="L24" s="165"/>
      <c r="M24" s="171"/>
    </row>
    <row r="25" spans="2:13" s="167" customFormat="1" ht="15.6" x14ac:dyDescent="0.3">
      <c r="B25" s="271"/>
      <c r="C25" s="173" t="s">
        <v>361</v>
      </c>
      <c r="D25" s="165"/>
      <c r="E25" s="165"/>
      <c r="F25" s="165"/>
      <c r="G25" s="165"/>
      <c r="H25" s="165"/>
      <c r="I25" s="165"/>
      <c r="J25" s="165"/>
      <c r="K25" s="165"/>
      <c r="L25" s="165"/>
      <c r="M25" s="171"/>
    </row>
    <row r="26" spans="2:13" x14ac:dyDescent="0.25">
      <c r="B26" s="157"/>
      <c r="C26" s="258" t="s">
        <v>363</v>
      </c>
      <c r="D26" s="148"/>
      <c r="E26" s="148"/>
      <c r="F26" s="148"/>
      <c r="G26" s="148"/>
      <c r="H26" s="148"/>
      <c r="I26" s="148"/>
      <c r="J26" s="148"/>
      <c r="K26" s="148"/>
      <c r="L26" s="148"/>
      <c r="M26" s="158"/>
    </row>
    <row r="27" spans="2:13" ht="14.4" thickBot="1" x14ac:dyDescent="0.3">
      <c r="B27" s="153"/>
      <c r="C27" s="154"/>
      <c r="D27" s="155"/>
      <c r="E27" s="154"/>
      <c r="F27" s="154"/>
      <c r="G27" s="154"/>
      <c r="H27" s="154"/>
      <c r="I27" s="154"/>
      <c r="J27" s="154"/>
      <c r="K27" s="154"/>
      <c r="L27" s="154"/>
      <c r="M27" s="156"/>
    </row>
    <row r="28" spans="2:13" ht="12.6" customHeight="1" thickTop="1" thickBot="1" x14ac:dyDescent="0.3"/>
    <row r="29" spans="2:13" ht="35.4" thickTop="1" x14ac:dyDescent="0.55000000000000004">
      <c r="B29" s="272" t="s">
        <v>360</v>
      </c>
      <c r="C29" s="273"/>
      <c r="D29" s="273"/>
      <c r="E29" s="273"/>
      <c r="F29" s="273"/>
      <c r="G29" s="273"/>
      <c r="H29" s="273"/>
      <c r="I29" s="273"/>
      <c r="J29" s="273"/>
      <c r="K29" s="273"/>
      <c r="L29" s="273"/>
      <c r="M29" s="274"/>
    </row>
    <row r="30" spans="2:13" x14ac:dyDescent="0.25">
      <c r="B30" s="157"/>
      <c r="C30" s="148"/>
      <c r="D30" s="148"/>
      <c r="E30" s="148"/>
      <c r="F30" s="148"/>
      <c r="G30" s="148"/>
      <c r="H30" s="148"/>
      <c r="I30" s="148"/>
      <c r="J30" s="148"/>
      <c r="K30" s="148"/>
      <c r="L30" s="148"/>
      <c r="M30" s="158"/>
    </row>
    <row r="31" spans="2:13" ht="15.6" x14ac:dyDescent="0.3">
      <c r="B31" s="157"/>
      <c r="C31" s="170" t="s">
        <v>315</v>
      </c>
      <c r="D31" s="165"/>
      <c r="E31" s="165"/>
      <c r="F31" s="165"/>
      <c r="G31" s="165"/>
      <c r="H31" s="165"/>
      <c r="I31" s="165"/>
      <c r="J31" s="165"/>
      <c r="K31" s="165"/>
      <c r="L31" s="165"/>
      <c r="M31" s="171"/>
    </row>
    <row r="32" spans="2:13" ht="15.6" x14ac:dyDescent="0.3">
      <c r="B32" s="157"/>
      <c r="C32" s="172" t="s">
        <v>317</v>
      </c>
      <c r="D32" s="165"/>
      <c r="E32" s="165"/>
      <c r="F32" s="165"/>
      <c r="G32" s="165"/>
      <c r="H32" s="165"/>
      <c r="I32" s="165"/>
      <c r="J32" s="165"/>
      <c r="K32" s="165"/>
      <c r="L32" s="165"/>
      <c r="M32" s="171"/>
    </row>
    <row r="33" spans="2:13" ht="15.6" x14ac:dyDescent="0.3">
      <c r="B33" s="157"/>
      <c r="C33" s="173" t="s">
        <v>318</v>
      </c>
      <c r="D33" s="165"/>
      <c r="E33" s="165"/>
      <c r="F33" s="165"/>
      <c r="G33" s="165"/>
      <c r="H33" s="165"/>
      <c r="I33" s="165"/>
      <c r="J33" s="165"/>
      <c r="K33" s="165"/>
      <c r="L33" s="165"/>
      <c r="M33" s="171"/>
    </row>
    <row r="34" spans="2:13" ht="15.6" x14ac:dyDescent="0.3">
      <c r="B34" s="157"/>
      <c r="C34" s="173"/>
      <c r="D34" s="165"/>
      <c r="E34" s="165"/>
      <c r="F34" s="165"/>
      <c r="G34" s="165"/>
      <c r="H34" s="165"/>
      <c r="I34" s="165"/>
      <c r="J34" s="165"/>
      <c r="K34" s="165"/>
      <c r="L34" s="165"/>
      <c r="M34" s="171"/>
    </row>
    <row r="35" spans="2:13" ht="15.6" x14ac:dyDescent="0.3">
      <c r="B35" s="157"/>
      <c r="C35" s="174" t="s">
        <v>316</v>
      </c>
      <c r="D35" s="165"/>
      <c r="E35" s="165"/>
      <c r="F35" s="165"/>
      <c r="G35" s="165"/>
      <c r="H35" s="165"/>
      <c r="I35" s="165"/>
      <c r="J35" s="165"/>
      <c r="K35" s="165"/>
      <c r="L35" s="165"/>
      <c r="M35" s="171"/>
    </row>
    <row r="36" spans="2:13" ht="15.6" x14ac:dyDescent="0.3">
      <c r="B36" s="157"/>
      <c r="C36" s="173" t="s">
        <v>319</v>
      </c>
      <c r="D36" s="175"/>
      <c r="E36" s="165"/>
      <c r="F36" s="165"/>
      <c r="G36" s="165"/>
      <c r="H36" s="165"/>
      <c r="I36" s="165"/>
      <c r="J36" s="165"/>
      <c r="K36" s="165"/>
      <c r="L36" s="165"/>
      <c r="M36" s="171"/>
    </row>
    <row r="37" spans="2:13" ht="15.6" x14ac:dyDescent="0.3">
      <c r="B37" s="157"/>
      <c r="C37" s="173" t="s">
        <v>320</v>
      </c>
      <c r="D37" s="175"/>
      <c r="E37" s="165"/>
      <c r="F37" s="165"/>
      <c r="G37" s="165"/>
      <c r="H37" s="165"/>
      <c r="I37" s="165"/>
      <c r="J37" s="165"/>
      <c r="K37" s="165"/>
      <c r="L37" s="165"/>
      <c r="M37" s="171"/>
    </row>
    <row r="38" spans="2:13" ht="15.6" x14ac:dyDescent="0.3">
      <c r="B38" s="157"/>
      <c r="C38" s="173" t="s">
        <v>321</v>
      </c>
      <c r="D38" s="175"/>
      <c r="E38" s="165"/>
      <c r="F38" s="165"/>
      <c r="G38" s="165"/>
      <c r="H38" s="165"/>
      <c r="I38" s="165"/>
      <c r="J38" s="165"/>
      <c r="K38" s="165"/>
      <c r="L38" s="165"/>
      <c r="M38" s="171"/>
    </row>
    <row r="39" spans="2:13" ht="15.6" x14ac:dyDescent="0.3">
      <c r="B39" s="157"/>
      <c r="C39" s="173" t="s">
        <v>322</v>
      </c>
      <c r="D39" s="175"/>
      <c r="E39" s="165"/>
      <c r="F39" s="165"/>
      <c r="G39" s="165"/>
      <c r="H39" s="165"/>
      <c r="I39" s="165"/>
      <c r="J39" s="165"/>
      <c r="K39" s="165"/>
      <c r="L39" s="165"/>
      <c r="M39" s="171"/>
    </row>
    <row r="40" spans="2:13" ht="15.6" x14ac:dyDescent="0.3">
      <c r="B40" s="157"/>
      <c r="C40" s="165"/>
      <c r="D40" s="173" t="s">
        <v>271</v>
      </c>
      <c r="E40" s="165"/>
      <c r="F40" s="165"/>
      <c r="G40" s="165"/>
      <c r="H40" s="165"/>
      <c r="I40" s="165"/>
      <c r="J40" s="165"/>
      <c r="K40" s="165"/>
      <c r="L40" s="165"/>
      <c r="M40" s="171"/>
    </row>
    <row r="41" spans="2:13" ht="15.6" x14ac:dyDescent="0.3">
      <c r="B41" s="157"/>
      <c r="C41" s="165"/>
      <c r="D41" s="173" t="s">
        <v>272</v>
      </c>
      <c r="E41" s="165"/>
      <c r="F41" s="165"/>
      <c r="G41" s="165"/>
      <c r="H41" s="165"/>
      <c r="I41" s="165"/>
      <c r="J41" s="165"/>
      <c r="K41" s="165"/>
      <c r="L41" s="165"/>
      <c r="M41" s="171"/>
    </row>
    <row r="42" spans="2:13" ht="15.6" x14ac:dyDescent="0.3">
      <c r="B42" s="157"/>
      <c r="C42" s="165"/>
      <c r="D42" s="173" t="s">
        <v>273</v>
      </c>
      <c r="E42" s="165"/>
      <c r="F42" s="165"/>
      <c r="G42" s="165"/>
      <c r="H42" s="165"/>
      <c r="I42" s="165"/>
      <c r="J42" s="165"/>
      <c r="K42" s="165"/>
      <c r="L42" s="165"/>
      <c r="M42" s="171"/>
    </row>
    <row r="43" spans="2:13" ht="15.6" x14ac:dyDescent="0.3">
      <c r="B43" s="157"/>
      <c r="C43" s="165"/>
      <c r="D43" s="173" t="s">
        <v>274</v>
      </c>
      <c r="E43" s="165"/>
      <c r="F43" s="165"/>
      <c r="G43" s="165"/>
      <c r="H43" s="165"/>
      <c r="I43" s="165"/>
      <c r="J43" s="165"/>
      <c r="K43" s="165"/>
      <c r="L43" s="165"/>
      <c r="M43" s="171"/>
    </row>
    <row r="44" spans="2:13" ht="15.6" x14ac:dyDescent="0.3">
      <c r="B44" s="157"/>
      <c r="C44" s="165"/>
      <c r="D44" s="173" t="s">
        <v>275</v>
      </c>
      <c r="E44" s="165"/>
      <c r="F44" s="165"/>
      <c r="G44" s="165"/>
      <c r="H44" s="165"/>
      <c r="I44" s="165"/>
      <c r="J44" s="165"/>
      <c r="K44" s="165"/>
      <c r="L44" s="165"/>
      <c r="M44" s="171"/>
    </row>
    <row r="45" spans="2:13" ht="15.6" x14ac:dyDescent="0.3">
      <c r="B45" s="157"/>
      <c r="C45" s="165"/>
      <c r="D45" s="173" t="s">
        <v>323</v>
      </c>
      <c r="E45" s="165"/>
      <c r="F45" s="165"/>
      <c r="G45" s="165"/>
      <c r="H45" s="165"/>
      <c r="I45" s="165"/>
      <c r="J45" s="165"/>
      <c r="K45" s="165"/>
      <c r="L45" s="165"/>
      <c r="M45" s="171"/>
    </row>
    <row r="46" spans="2:13" ht="15.6" x14ac:dyDescent="0.3">
      <c r="B46" s="157"/>
      <c r="C46" s="165"/>
      <c r="D46" s="165"/>
      <c r="E46" s="165" t="s">
        <v>251</v>
      </c>
      <c r="F46" s="165"/>
      <c r="G46" s="165"/>
      <c r="H46" s="165"/>
      <c r="I46" s="165"/>
      <c r="J46" s="165"/>
      <c r="K46" s="165"/>
      <c r="L46" s="165"/>
      <c r="M46" s="171"/>
    </row>
    <row r="47" spans="2:13" ht="15.6" x14ac:dyDescent="0.3">
      <c r="B47" s="157"/>
      <c r="C47" s="165"/>
      <c r="D47" s="165"/>
      <c r="E47" s="165" t="s">
        <v>276</v>
      </c>
      <c r="F47" s="165"/>
      <c r="G47" s="165"/>
      <c r="H47" s="165"/>
      <c r="I47" s="165"/>
      <c r="J47" s="165"/>
      <c r="K47" s="165"/>
      <c r="L47" s="165"/>
      <c r="M47" s="171"/>
    </row>
    <row r="48" spans="2:13" ht="15.6" x14ac:dyDescent="0.3">
      <c r="B48" s="157"/>
      <c r="C48" s="165"/>
      <c r="D48" s="165"/>
      <c r="E48" s="165" t="s">
        <v>252</v>
      </c>
      <c r="F48" s="165"/>
      <c r="G48" s="165"/>
      <c r="H48" s="165"/>
      <c r="I48" s="165"/>
      <c r="J48" s="165"/>
      <c r="K48" s="165"/>
      <c r="L48" s="165"/>
      <c r="M48" s="171"/>
    </row>
    <row r="49" spans="2:13" ht="15.6" x14ac:dyDescent="0.3">
      <c r="B49" s="157"/>
      <c r="C49" s="165"/>
      <c r="D49" s="165"/>
      <c r="E49" s="165" t="s">
        <v>277</v>
      </c>
      <c r="F49" s="165"/>
      <c r="G49" s="165"/>
      <c r="H49" s="165"/>
      <c r="I49" s="165"/>
      <c r="J49" s="165"/>
      <c r="K49" s="165"/>
      <c r="L49" s="165"/>
      <c r="M49" s="171"/>
    </row>
    <row r="50" spans="2:13" ht="15.6" x14ac:dyDescent="0.3">
      <c r="B50" s="157"/>
      <c r="C50" s="165"/>
      <c r="D50" s="173" t="s">
        <v>253</v>
      </c>
      <c r="E50" s="165"/>
      <c r="F50" s="165"/>
      <c r="G50" s="165"/>
      <c r="H50" s="165"/>
      <c r="I50" s="165"/>
      <c r="J50" s="165"/>
      <c r="K50" s="165"/>
      <c r="L50" s="165"/>
      <c r="M50" s="171"/>
    </row>
    <row r="51" spans="2:13" ht="14.4" thickBot="1" x14ac:dyDescent="0.3">
      <c r="B51" s="159"/>
      <c r="C51" s="160"/>
      <c r="D51" s="160"/>
      <c r="E51" s="160"/>
      <c r="F51" s="160"/>
      <c r="G51" s="160"/>
      <c r="H51" s="160"/>
      <c r="I51" s="160"/>
      <c r="J51" s="160"/>
      <c r="K51" s="160"/>
      <c r="L51" s="160"/>
      <c r="M51" s="161"/>
    </row>
    <row r="52" spans="2:13" ht="15" thickTop="1" thickBot="1" x14ac:dyDescent="0.3"/>
    <row r="53" spans="2:13" ht="35.4" thickTop="1" x14ac:dyDescent="0.55000000000000004">
      <c r="B53" s="272" t="s">
        <v>255</v>
      </c>
      <c r="C53" s="273"/>
      <c r="D53" s="273"/>
      <c r="E53" s="273"/>
      <c r="F53" s="273"/>
      <c r="G53" s="273"/>
      <c r="H53" s="273"/>
      <c r="I53" s="273"/>
      <c r="J53" s="273"/>
      <c r="K53" s="273"/>
      <c r="L53" s="273"/>
      <c r="M53" s="274"/>
    </row>
    <row r="54" spans="2:13" x14ac:dyDescent="0.25">
      <c r="B54" s="260"/>
      <c r="C54" s="148"/>
      <c r="D54" s="148"/>
      <c r="E54" s="148"/>
      <c r="F54" s="148"/>
      <c r="G54" s="148"/>
      <c r="H54" s="148"/>
      <c r="I54" s="148"/>
      <c r="J54" s="148"/>
      <c r="K54" s="148"/>
      <c r="L54" s="148"/>
      <c r="M54" s="261"/>
    </row>
    <row r="55" spans="2:13" ht="14.4" thickBot="1" x14ac:dyDescent="0.3">
      <c r="B55" s="260"/>
      <c r="C55" s="255" t="s">
        <v>172</v>
      </c>
      <c r="D55" s="254" t="s">
        <v>337</v>
      </c>
      <c r="E55" s="254"/>
      <c r="F55" s="254"/>
      <c r="G55" s="254"/>
      <c r="H55" s="254"/>
      <c r="I55" s="254"/>
      <c r="J55" s="254"/>
      <c r="K55" s="254"/>
      <c r="L55" s="254"/>
      <c r="M55" s="261"/>
    </row>
    <row r="56" spans="2:13" ht="14.4" thickTop="1" x14ac:dyDescent="0.25">
      <c r="B56" s="260"/>
      <c r="C56" s="256"/>
      <c r="D56" s="258" t="s">
        <v>256</v>
      </c>
      <c r="E56" s="148"/>
      <c r="F56" s="148"/>
      <c r="G56" s="148"/>
      <c r="H56" s="148"/>
      <c r="I56" s="148"/>
      <c r="J56" s="148"/>
      <c r="K56" s="148"/>
      <c r="L56" s="148"/>
      <c r="M56" s="261"/>
    </row>
    <row r="57" spans="2:13" x14ac:dyDescent="0.25">
      <c r="B57" s="260"/>
      <c r="C57" s="257"/>
      <c r="D57" s="258" t="s">
        <v>257</v>
      </c>
      <c r="E57" s="148"/>
      <c r="F57" s="148"/>
      <c r="G57" s="148"/>
      <c r="H57" s="148"/>
      <c r="I57" s="148"/>
      <c r="J57" s="148"/>
      <c r="K57" s="148"/>
      <c r="L57" s="148"/>
      <c r="M57" s="261"/>
    </row>
    <row r="58" spans="2:13" x14ac:dyDescent="0.25">
      <c r="B58" s="260"/>
      <c r="C58" s="257"/>
      <c r="D58" s="258" t="s">
        <v>174</v>
      </c>
      <c r="E58" s="148"/>
      <c r="F58" s="148"/>
      <c r="G58" s="148"/>
      <c r="H58" s="148"/>
      <c r="I58" s="148"/>
      <c r="J58" s="148"/>
      <c r="K58" s="148"/>
      <c r="L58" s="148"/>
      <c r="M58" s="261"/>
    </row>
    <row r="59" spans="2:13" x14ac:dyDescent="0.25">
      <c r="B59" s="260"/>
      <c r="C59" s="257"/>
      <c r="D59" s="258" t="s">
        <v>266</v>
      </c>
      <c r="E59" s="148"/>
      <c r="F59" s="148"/>
      <c r="G59" s="148"/>
      <c r="H59" s="148"/>
      <c r="I59" s="148"/>
      <c r="J59" s="148"/>
      <c r="K59" s="148"/>
      <c r="L59" s="148"/>
      <c r="M59" s="261"/>
    </row>
    <row r="60" spans="2:13" x14ac:dyDescent="0.25">
      <c r="B60" s="260"/>
      <c r="C60" s="257"/>
      <c r="D60" s="262" t="s">
        <v>267</v>
      </c>
      <c r="E60" s="148"/>
      <c r="F60" s="148"/>
      <c r="G60" s="148"/>
      <c r="H60" s="148"/>
      <c r="I60" s="148"/>
      <c r="J60" s="148"/>
      <c r="K60" s="148"/>
      <c r="L60" s="148"/>
      <c r="M60" s="261"/>
    </row>
    <row r="61" spans="2:13" s="120" customFormat="1" x14ac:dyDescent="0.25">
      <c r="B61" s="263"/>
      <c r="C61" s="262"/>
      <c r="D61" s="262"/>
      <c r="E61" s="262"/>
      <c r="F61" s="262"/>
      <c r="G61" s="262"/>
      <c r="H61" s="262"/>
      <c r="I61" s="262"/>
      <c r="J61" s="262"/>
      <c r="K61" s="262"/>
      <c r="L61" s="262"/>
      <c r="M61" s="264"/>
    </row>
    <row r="62" spans="2:13" ht="14.4" thickBot="1" x14ac:dyDescent="0.3">
      <c r="B62" s="260"/>
      <c r="C62" s="255" t="s">
        <v>175</v>
      </c>
      <c r="D62" s="259" t="s">
        <v>338</v>
      </c>
      <c r="E62" s="254"/>
      <c r="F62" s="254"/>
      <c r="G62" s="254"/>
      <c r="H62" s="254"/>
      <c r="I62" s="254"/>
      <c r="J62" s="254"/>
      <c r="K62" s="254"/>
      <c r="L62" s="254"/>
      <c r="M62" s="261"/>
    </row>
    <row r="63" spans="2:13" ht="14.4" thickTop="1" x14ac:dyDescent="0.25">
      <c r="B63" s="260"/>
      <c r="C63" s="256"/>
      <c r="D63" s="258" t="s">
        <v>258</v>
      </c>
      <c r="E63" s="148"/>
      <c r="F63" s="148"/>
      <c r="G63" s="148"/>
      <c r="H63" s="148"/>
      <c r="I63" s="148"/>
      <c r="J63" s="148"/>
      <c r="K63" s="148"/>
      <c r="L63" s="148"/>
      <c r="M63" s="261"/>
    </row>
    <row r="64" spans="2:13" x14ac:dyDescent="0.25">
      <c r="B64" s="260"/>
      <c r="C64" s="257"/>
      <c r="D64" s="258" t="s">
        <v>259</v>
      </c>
      <c r="E64" s="148"/>
      <c r="F64" s="148"/>
      <c r="G64" s="148"/>
      <c r="H64" s="148"/>
      <c r="I64" s="148"/>
      <c r="J64" s="148"/>
      <c r="K64" s="148"/>
      <c r="L64" s="148"/>
      <c r="M64" s="261"/>
    </row>
    <row r="65" spans="2:13" x14ac:dyDescent="0.25">
      <c r="B65" s="260"/>
      <c r="C65" s="257"/>
      <c r="D65" s="258" t="s">
        <v>174</v>
      </c>
      <c r="E65" s="148"/>
      <c r="F65" s="148"/>
      <c r="G65" s="148"/>
      <c r="H65" s="148"/>
      <c r="I65" s="148"/>
      <c r="J65" s="148"/>
      <c r="K65" s="148"/>
      <c r="L65" s="148"/>
      <c r="M65" s="261"/>
    </row>
    <row r="66" spans="2:13" x14ac:dyDescent="0.25">
      <c r="B66" s="260"/>
      <c r="C66" s="148"/>
      <c r="D66" s="148"/>
      <c r="E66" s="148"/>
      <c r="F66" s="148"/>
      <c r="G66" s="148"/>
      <c r="H66" s="148"/>
      <c r="I66" s="148"/>
      <c r="J66" s="148"/>
      <c r="K66" s="148"/>
      <c r="L66" s="148"/>
      <c r="M66" s="261"/>
    </row>
    <row r="67" spans="2:13" ht="14.4" thickBot="1" x14ac:dyDescent="0.3">
      <c r="B67" s="260"/>
      <c r="C67" s="255" t="s">
        <v>176</v>
      </c>
      <c r="D67" s="259" t="s">
        <v>339</v>
      </c>
      <c r="E67" s="254"/>
      <c r="F67" s="254"/>
      <c r="G67" s="254"/>
      <c r="H67" s="254"/>
      <c r="I67" s="254"/>
      <c r="J67" s="254"/>
      <c r="K67" s="254"/>
      <c r="L67" s="254"/>
      <c r="M67" s="261"/>
    </row>
    <row r="68" spans="2:13" ht="14.4" thickTop="1" x14ac:dyDescent="0.25">
      <c r="B68" s="260"/>
      <c r="C68" s="256"/>
      <c r="D68" s="258" t="s">
        <v>260</v>
      </c>
      <c r="E68" s="148"/>
      <c r="F68" s="148"/>
      <c r="G68" s="148"/>
      <c r="H68" s="148"/>
      <c r="I68" s="148"/>
      <c r="J68" s="148"/>
      <c r="K68" s="148"/>
      <c r="L68" s="148"/>
      <c r="M68" s="261"/>
    </row>
    <row r="69" spans="2:13" x14ac:dyDescent="0.25">
      <c r="B69" s="260"/>
      <c r="C69" s="256"/>
      <c r="D69" s="258" t="s">
        <v>261</v>
      </c>
      <c r="E69" s="148"/>
      <c r="F69" s="148"/>
      <c r="G69" s="148"/>
      <c r="H69" s="148"/>
      <c r="I69" s="148"/>
      <c r="J69" s="148"/>
      <c r="K69" s="148"/>
      <c r="L69" s="148"/>
      <c r="M69" s="261"/>
    </row>
    <row r="70" spans="2:13" x14ac:dyDescent="0.25">
      <c r="B70" s="260"/>
      <c r="C70" s="256"/>
      <c r="D70" s="258" t="s">
        <v>174</v>
      </c>
      <c r="E70" s="148"/>
      <c r="F70" s="148"/>
      <c r="G70" s="148"/>
      <c r="H70" s="148"/>
      <c r="I70" s="148"/>
      <c r="J70" s="148"/>
      <c r="K70" s="148"/>
      <c r="L70" s="148"/>
      <c r="M70" s="261"/>
    </row>
    <row r="71" spans="2:13" x14ac:dyDescent="0.25">
      <c r="B71" s="260"/>
      <c r="C71" s="256"/>
      <c r="D71" s="258" t="s">
        <v>340</v>
      </c>
      <c r="E71" s="148"/>
      <c r="F71" s="148"/>
      <c r="G71" s="148"/>
      <c r="H71" s="148"/>
      <c r="I71" s="148"/>
      <c r="J71" s="148"/>
      <c r="K71" s="148"/>
      <c r="L71" s="148"/>
      <c r="M71" s="261"/>
    </row>
    <row r="72" spans="2:13" x14ac:dyDescent="0.25">
      <c r="B72" s="260"/>
      <c r="C72" s="256"/>
      <c r="D72" s="258" t="s">
        <v>341</v>
      </c>
      <c r="E72" s="148"/>
      <c r="F72" s="148"/>
      <c r="G72" s="148"/>
      <c r="H72" s="148"/>
      <c r="I72" s="148"/>
      <c r="J72" s="148"/>
      <c r="K72" s="148"/>
      <c r="L72" s="148"/>
      <c r="M72" s="261"/>
    </row>
    <row r="73" spans="2:13" x14ac:dyDescent="0.25">
      <c r="B73" s="260"/>
      <c r="C73" s="256"/>
      <c r="D73" s="258" t="s">
        <v>342</v>
      </c>
      <c r="E73" s="148"/>
      <c r="F73" s="148"/>
      <c r="G73" s="148"/>
      <c r="H73" s="148"/>
      <c r="I73" s="148"/>
      <c r="J73" s="148"/>
      <c r="K73" s="148"/>
      <c r="L73" s="148"/>
      <c r="M73" s="261"/>
    </row>
    <row r="74" spans="2:13" x14ac:dyDescent="0.25">
      <c r="B74" s="260"/>
      <c r="C74" s="148"/>
      <c r="D74" s="148"/>
      <c r="E74" s="148"/>
      <c r="F74" s="148"/>
      <c r="G74" s="148"/>
      <c r="H74" s="148"/>
      <c r="I74" s="148"/>
      <c r="J74" s="148"/>
      <c r="K74" s="148"/>
      <c r="L74" s="148"/>
      <c r="M74" s="261"/>
    </row>
    <row r="75" spans="2:13" ht="14.4" thickBot="1" x14ac:dyDescent="0.3">
      <c r="B75" s="260"/>
      <c r="C75" s="255" t="s">
        <v>177</v>
      </c>
      <c r="D75" s="259" t="s">
        <v>348</v>
      </c>
      <c r="E75" s="254"/>
      <c r="F75" s="254"/>
      <c r="G75" s="254"/>
      <c r="H75" s="254"/>
      <c r="I75" s="254"/>
      <c r="J75" s="254"/>
      <c r="K75" s="254"/>
      <c r="L75" s="254"/>
      <c r="M75" s="261"/>
    </row>
    <row r="76" spans="2:13" ht="14.4" thickTop="1" x14ac:dyDescent="0.25">
      <c r="B76" s="260"/>
      <c r="C76" s="256"/>
      <c r="D76" s="258" t="s">
        <v>263</v>
      </c>
      <c r="E76" s="148"/>
      <c r="F76" s="148"/>
      <c r="G76" s="148"/>
      <c r="H76" s="148"/>
      <c r="I76" s="148"/>
      <c r="J76" s="148"/>
      <c r="K76" s="148"/>
      <c r="L76" s="148"/>
      <c r="M76" s="261"/>
    </row>
    <row r="77" spans="2:13" x14ac:dyDescent="0.25">
      <c r="B77" s="260"/>
      <c r="C77" s="256"/>
      <c r="D77" s="148" t="s">
        <v>262</v>
      </c>
      <c r="E77" s="148"/>
      <c r="F77" s="148"/>
      <c r="G77" s="148"/>
      <c r="H77" s="148"/>
      <c r="I77" s="148"/>
      <c r="J77" s="148"/>
      <c r="K77" s="148"/>
      <c r="L77" s="148"/>
      <c r="M77" s="261"/>
    </row>
    <row r="78" spans="2:13" x14ac:dyDescent="0.25">
      <c r="B78" s="260"/>
      <c r="C78" s="256"/>
      <c r="D78" s="148" t="s">
        <v>343</v>
      </c>
      <c r="E78" s="148"/>
      <c r="F78" s="148"/>
      <c r="G78" s="148"/>
      <c r="H78" s="148"/>
      <c r="I78" s="148"/>
      <c r="J78" s="148"/>
      <c r="K78" s="148"/>
      <c r="L78" s="148"/>
      <c r="M78" s="261"/>
    </row>
    <row r="79" spans="2:13" x14ac:dyDescent="0.25">
      <c r="B79" s="260"/>
      <c r="C79" s="256"/>
      <c r="D79" s="148" t="s">
        <v>264</v>
      </c>
      <c r="E79" s="148"/>
      <c r="F79" s="148"/>
      <c r="G79" s="148"/>
      <c r="H79" s="148"/>
      <c r="I79" s="148"/>
      <c r="J79" s="148"/>
      <c r="K79" s="148"/>
      <c r="L79" s="148"/>
      <c r="M79" s="261"/>
    </row>
    <row r="80" spans="2:13" x14ac:dyDescent="0.25">
      <c r="B80" s="260"/>
      <c r="C80" s="256"/>
      <c r="D80" s="148" t="s">
        <v>265</v>
      </c>
      <c r="E80" s="148"/>
      <c r="F80" s="148"/>
      <c r="G80" s="148"/>
      <c r="H80" s="148"/>
      <c r="I80" s="148"/>
      <c r="J80" s="148"/>
      <c r="K80" s="148"/>
      <c r="L80" s="148"/>
      <c r="M80" s="261"/>
    </row>
    <row r="81" spans="2:13" x14ac:dyDescent="0.25">
      <c r="B81" s="260"/>
      <c r="C81" s="256"/>
      <c r="D81" s="258" t="s">
        <v>174</v>
      </c>
      <c r="E81" s="148"/>
      <c r="F81" s="148"/>
      <c r="G81" s="148"/>
      <c r="H81" s="148"/>
      <c r="I81" s="148"/>
      <c r="J81" s="148"/>
      <c r="K81" s="148"/>
      <c r="L81" s="148"/>
      <c r="M81" s="261"/>
    </row>
    <row r="82" spans="2:13" x14ac:dyDescent="0.25">
      <c r="B82" s="260"/>
      <c r="C82" s="256"/>
      <c r="D82" s="258" t="s">
        <v>268</v>
      </c>
      <c r="E82" s="148"/>
      <c r="F82" s="148"/>
      <c r="G82" s="148"/>
      <c r="H82" s="148"/>
      <c r="I82" s="148"/>
      <c r="J82" s="148"/>
      <c r="K82" s="148"/>
      <c r="L82" s="148"/>
      <c r="M82" s="261"/>
    </row>
    <row r="83" spans="2:13" x14ac:dyDescent="0.25">
      <c r="B83" s="260"/>
      <c r="C83" s="256"/>
      <c r="D83" s="258" t="s">
        <v>269</v>
      </c>
      <c r="E83" s="148"/>
      <c r="F83" s="148"/>
      <c r="G83" s="148"/>
      <c r="H83" s="148"/>
      <c r="I83" s="148"/>
      <c r="J83" s="148"/>
      <c r="K83" s="148"/>
      <c r="L83" s="148"/>
      <c r="M83" s="261"/>
    </row>
    <row r="84" spans="2:13" x14ac:dyDescent="0.25">
      <c r="B84" s="260"/>
      <c r="C84" s="256"/>
      <c r="D84" s="258" t="s">
        <v>248</v>
      </c>
      <c r="E84" s="148"/>
      <c r="F84" s="148"/>
      <c r="G84" s="148"/>
      <c r="H84" s="148"/>
      <c r="I84" s="148"/>
      <c r="J84" s="148"/>
      <c r="K84" s="148"/>
      <c r="L84" s="148"/>
      <c r="M84" s="261"/>
    </row>
    <row r="85" spans="2:13" x14ac:dyDescent="0.25">
      <c r="B85" s="260"/>
      <c r="C85" s="256"/>
      <c r="D85" s="258" t="s">
        <v>278</v>
      </c>
      <c r="E85" s="148"/>
      <c r="F85" s="148"/>
      <c r="G85" s="148"/>
      <c r="H85" s="148"/>
      <c r="I85" s="148"/>
      <c r="J85" s="148"/>
      <c r="K85" s="148"/>
      <c r="L85" s="148"/>
      <c r="M85" s="261"/>
    </row>
    <row r="86" spans="2:13" x14ac:dyDescent="0.25">
      <c r="B86" s="260"/>
      <c r="C86" s="256"/>
      <c r="D86" s="258" t="s">
        <v>279</v>
      </c>
      <c r="E86" s="148"/>
      <c r="F86" s="148"/>
      <c r="G86" s="148"/>
      <c r="H86" s="148"/>
      <c r="I86" s="148"/>
      <c r="J86" s="148"/>
      <c r="K86" s="148"/>
      <c r="L86" s="148"/>
      <c r="M86" s="261"/>
    </row>
    <row r="87" spans="2:13" x14ac:dyDescent="0.25">
      <c r="B87" s="260"/>
      <c r="C87" s="256"/>
      <c r="D87" s="258" t="s">
        <v>282</v>
      </c>
      <c r="E87" s="148"/>
      <c r="F87" s="148"/>
      <c r="G87" s="148"/>
      <c r="H87" s="148"/>
      <c r="I87" s="148"/>
      <c r="J87" s="148"/>
      <c r="K87" s="148"/>
      <c r="L87" s="148"/>
      <c r="M87" s="261"/>
    </row>
    <row r="88" spans="2:13" x14ac:dyDescent="0.25">
      <c r="B88" s="260"/>
      <c r="C88" s="256"/>
      <c r="D88" s="258" t="s">
        <v>283</v>
      </c>
      <c r="E88" s="148"/>
      <c r="F88" s="148"/>
      <c r="G88" s="148"/>
      <c r="H88" s="148"/>
      <c r="I88" s="148"/>
      <c r="J88" s="148"/>
      <c r="K88" s="148"/>
      <c r="L88" s="148"/>
      <c r="M88" s="261"/>
    </row>
    <row r="89" spans="2:13" x14ac:dyDescent="0.25">
      <c r="B89" s="260"/>
      <c r="C89" s="148"/>
      <c r="D89" s="258"/>
      <c r="E89" s="148"/>
      <c r="F89" s="148"/>
      <c r="G89" s="148"/>
      <c r="H89" s="148"/>
      <c r="I89" s="148"/>
      <c r="J89" s="148"/>
      <c r="K89" s="148"/>
      <c r="L89" s="148"/>
      <c r="M89" s="261"/>
    </row>
    <row r="90" spans="2:13" ht="14.4" thickBot="1" x14ac:dyDescent="0.3">
      <c r="B90" s="260"/>
      <c r="C90" s="255" t="s">
        <v>246</v>
      </c>
      <c r="D90" s="259" t="s">
        <v>349</v>
      </c>
      <c r="E90" s="254"/>
      <c r="F90" s="254"/>
      <c r="G90" s="254"/>
      <c r="H90" s="254"/>
      <c r="I90" s="254"/>
      <c r="J90" s="254"/>
      <c r="K90" s="254"/>
      <c r="L90" s="254"/>
      <c r="M90" s="261"/>
    </row>
    <row r="91" spans="2:13" ht="7.8" customHeight="1" thickTop="1" thickBot="1" x14ac:dyDescent="0.3">
      <c r="B91" s="260"/>
      <c r="C91" s="256"/>
      <c r="D91" s="148"/>
      <c r="E91" s="148"/>
      <c r="F91" s="148"/>
      <c r="G91" s="148"/>
      <c r="H91" s="148"/>
      <c r="I91" s="148"/>
      <c r="J91" s="148"/>
      <c r="K91" s="148"/>
      <c r="L91" s="148"/>
      <c r="M91" s="261"/>
    </row>
    <row r="92" spans="2:13" ht="15" thickTop="1" thickBot="1" x14ac:dyDescent="0.3">
      <c r="B92" s="260"/>
      <c r="C92" s="256"/>
      <c r="D92" s="258" t="s">
        <v>344</v>
      </c>
      <c r="E92" s="148"/>
      <c r="F92" s="148"/>
      <c r="G92" s="179" t="s">
        <v>125</v>
      </c>
      <c r="H92" s="184"/>
      <c r="I92" s="148" t="s">
        <v>346</v>
      </c>
      <c r="J92" s="148"/>
      <c r="K92" s="148"/>
      <c r="L92" s="148"/>
      <c r="M92" s="261"/>
    </row>
    <row r="93" spans="2:13" ht="15" thickTop="1" thickBot="1" x14ac:dyDescent="0.3">
      <c r="B93" s="260"/>
      <c r="C93" s="256"/>
      <c r="D93" s="148"/>
      <c r="E93" s="148"/>
      <c r="F93" s="148"/>
      <c r="G93" s="180" t="s">
        <v>130</v>
      </c>
      <c r="H93" s="182"/>
      <c r="I93" s="269" t="s">
        <v>345</v>
      </c>
      <c r="J93" s="148"/>
      <c r="K93" s="148"/>
      <c r="L93" s="148"/>
      <c r="M93" s="261"/>
    </row>
    <row r="94" spans="2:13" ht="15" thickTop="1" thickBot="1" x14ac:dyDescent="0.3">
      <c r="B94" s="260"/>
      <c r="C94" s="256"/>
      <c r="D94" s="148"/>
      <c r="E94" s="148"/>
      <c r="F94" s="148"/>
      <c r="G94" s="180" t="s">
        <v>133</v>
      </c>
      <c r="H94" s="183"/>
      <c r="I94" s="148" t="s">
        <v>284</v>
      </c>
      <c r="J94" s="148"/>
      <c r="K94" s="148"/>
      <c r="L94" s="148"/>
      <c r="M94" s="261"/>
    </row>
    <row r="95" spans="2:13" ht="15" thickTop="1" thickBot="1" x14ac:dyDescent="0.3">
      <c r="B95" s="260"/>
      <c r="C95" s="256"/>
      <c r="D95" s="148"/>
      <c r="E95" s="148"/>
      <c r="F95" s="148"/>
      <c r="G95" s="181" t="s">
        <v>136</v>
      </c>
      <c r="H95" s="183"/>
      <c r="I95" s="148" t="s">
        <v>285</v>
      </c>
      <c r="J95" s="148"/>
      <c r="K95" s="148"/>
      <c r="L95" s="148"/>
      <c r="M95" s="261"/>
    </row>
    <row r="96" spans="2:13" ht="14.4" thickTop="1" x14ac:dyDescent="0.25">
      <c r="B96" s="260"/>
      <c r="C96" s="256"/>
      <c r="D96" s="258" t="s">
        <v>347</v>
      </c>
      <c r="E96" s="148"/>
      <c r="F96" s="148"/>
      <c r="G96" s="148"/>
      <c r="H96" s="270"/>
      <c r="I96" s="148"/>
      <c r="J96" s="148"/>
      <c r="K96" s="148"/>
      <c r="L96" s="148"/>
      <c r="M96" s="261"/>
    </row>
    <row r="97" spans="2:13" x14ac:dyDescent="0.25">
      <c r="B97" s="260"/>
      <c r="C97" s="256"/>
      <c r="D97" s="258" t="s">
        <v>350</v>
      </c>
      <c r="E97" s="148"/>
      <c r="F97" s="148"/>
      <c r="G97" s="148"/>
      <c r="H97" s="148"/>
      <c r="I97" s="148"/>
      <c r="J97" s="148"/>
      <c r="K97" s="148"/>
      <c r="L97" s="148"/>
      <c r="M97" s="261"/>
    </row>
    <row r="98" spans="2:13" x14ac:dyDescent="0.25">
      <c r="B98" s="260"/>
      <c r="C98" s="256"/>
      <c r="D98" s="258" t="s">
        <v>351</v>
      </c>
      <c r="E98" s="148"/>
      <c r="F98" s="148"/>
      <c r="G98" s="148"/>
      <c r="H98" s="148"/>
      <c r="I98" s="148"/>
      <c r="J98" s="148"/>
      <c r="K98" s="148"/>
      <c r="L98" s="148"/>
      <c r="M98" s="261"/>
    </row>
    <row r="99" spans="2:13" x14ac:dyDescent="0.25">
      <c r="B99" s="260"/>
      <c r="C99" s="256"/>
      <c r="D99" s="258" t="s">
        <v>352</v>
      </c>
      <c r="E99" s="148"/>
      <c r="F99" s="148"/>
      <c r="G99" s="148"/>
      <c r="H99" s="148"/>
      <c r="I99" s="148"/>
      <c r="J99" s="148"/>
      <c r="K99" s="148"/>
      <c r="L99" s="148"/>
      <c r="M99" s="261"/>
    </row>
    <row r="100" spans="2:13" x14ac:dyDescent="0.25">
      <c r="B100" s="260"/>
      <c r="C100" s="256"/>
      <c r="D100" s="258" t="s">
        <v>358</v>
      </c>
      <c r="E100" s="148"/>
      <c r="F100" s="148"/>
      <c r="G100" s="148"/>
      <c r="H100" s="148"/>
      <c r="I100" s="148"/>
      <c r="J100" s="148"/>
      <c r="K100" s="148"/>
      <c r="L100" s="148"/>
      <c r="M100" s="261"/>
    </row>
    <row r="101" spans="2:13" x14ac:dyDescent="0.25">
      <c r="B101" s="260"/>
      <c r="C101" s="256"/>
      <c r="D101" s="258" t="s">
        <v>359</v>
      </c>
      <c r="E101" s="148"/>
      <c r="F101" s="148"/>
      <c r="G101" s="148"/>
      <c r="H101" s="148"/>
      <c r="I101" s="148"/>
      <c r="J101" s="148"/>
      <c r="K101" s="148"/>
      <c r="L101" s="148"/>
      <c r="M101" s="261"/>
    </row>
    <row r="102" spans="2:13" x14ac:dyDescent="0.25">
      <c r="B102" s="260"/>
      <c r="C102" s="256"/>
      <c r="D102" s="258" t="s">
        <v>353</v>
      </c>
      <c r="E102" s="148"/>
      <c r="F102" s="148"/>
      <c r="G102" s="148"/>
      <c r="H102" s="148"/>
      <c r="I102" s="148"/>
      <c r="J102" s="148"/>
      <c r="K102" s="148"/>
      <c r="L102" s="148"/>
      <c r="M102" s="261"/>
    </row>
    <row r="103" spans="2:13" x14ac:dyDescent="0.25">
      <c r="B103" s="260"/>
      <c r="C103" s="256"/>
      <c r="D103" s="258" t="s">
        <v>354</v>
      </c>
      <c r="E103" s="148"/>
      <c r="F103" s="148"/>
      <c r="G103" s="148"/>
      <c r="H103" s="148"/>
      <c r="I103" s="148"/>
      <c r="J103" s="148"/>
      <c r="K103" s="148"/>
      <c r="L103" s="148"/>
      <c r="M103" s="261"/>
    </row>
    <row r="104" spans="2:13" x14ac:dyDescent="0.25">
      <c r="B104" s="260"/>
      <c r="C104" s="256"/>
      <c r="D104" s="258" t="s">
        <v>355</v>
      </c>
      <c r="E104" s="148"/>
      <c r="F104" s="148"/>
      <c r="G104" s="148"/>
      <c r="H104" s="148"/>
      <c r="I104" s="148"/>
      <c r="J104" s="148"/>
      <c r="K104" s="148"/>
      <c r="L104" s="148"/>
      <c r="M104" s="261"/>
    </row>
    <row r="105" spans="2:13" x14ac:dyDescent="0.25">
      <c r="B105" s="260"/>
      <c r="C105" s="256"/>
      <c r="D105" s="258" t="s">
        <v>356</v>
      </c>
      <c r="E105" s="148"/>
      <c r="F105" s="148"/>
      <c r="G105" s="148"/>
      <c r="H105" s="148"/>
      <c r="I105" s="148"/>
      <c r="J105" s="148"/>
      <c r="K105" s="148"/>
      <c r="L105" s="148"/>
      <c r="M105" s="261"/>
    </row>
    <row r="106" spans="2:13" x14ac:dyDescent="0.25">
      <c r="B106" s="260"/>
      <c r="C106" s="256"/>
      <c r="D106" s="148"/>
      <c r="E106" s="148"/>
      <c r="F106" s="148"/>
      <c r="G106" s="148"/>
      <c r="H106" s="148"/>
      <c r="I106" s="148"/>
      <c r="J106" s="148"/>
      <c r="K106" s="148"/>
      <c r="L106" s="148"/>
      <c r="M106" s="261"/>
    </row>
    <row r="107" spans="2:13" x14ac:dyDescent="0.25">
      <c r="B107" s="260"/>
      <c r="C107" s="148"/>
      <c r="D107" s="148"/>
      <c r="E107" s="148"/>
      <c r="F107" s="148"/>
      <c r="G107" s="148"/>
      <c r="H107" s="148"/>
      <c r="I107" s="148"/>
      <c r="J107" s="148"/>
      <c r="K107" s="148"/>
      <c r="L107" s="148"/>
      <c r="M107" s="261"/>
    </row>
    <row r="108" spans="2:13" x14ac:dyDescent="0.25">
      <c r="B108" s="260"/>
      <c r="C108" s="268" t="s">
        <v>287</v>
      </c>
      <c r="D108" s="148"/>
      <c r="E108" s="148"/>
      <c r="F108" s="148"/>
      <c r="G108" s="148"/>
      <c r="H108" s="148"/>
      <c r="I108" s="148"/>
      <c r="J108" s="148"/>
      <c r="K108" s="148"/>
      <c r="L108" s="148"/>
      <c r="M108" s="261"/>
    </row>
    <row r="109" spans="2:13" ht="39.6" x14ac:dyDescent="0.25">
      <c r="B109" s="260"/>
      <c r="C109" s="132" t="s">
        <v>72</v>
      </c>
      <c r="D109" s="132" t="s">
        <v>73</v>
      </c>
      <c r="E109" s="132" t="s">
        <v>71</v>
      </c>
      <c r="F109" s="132" t="s">
        <v>74</v>
      </c>
      <c r="G109" s="132" t="s">
        <v>75</v>
      </c>
      <c r="H109" s="132" t="s">
        <v>76</v>
      </c>
      <c r="I109" s="132" t="s">
        <v>77</v>
      </c>
      <c r="J109" s="132" t="s">
        <v>78</v>
      </c>
      <c r="K109" s="132" t="s">
        <v>79</v>
      </c>
      <c r="L109" s="132" t="s">
        <v>80</v>
      </c>
      <c r="M109" s="261"/>
    </row>
    <row r="110" spans="2:13" x14ac:dyDescent="0.25">
      <c r="B110" s="260"/>
      <c r="C110" s="13" t="s">
        <v>82</v>
      </c>
      <c r="D110" s="13" t="s">
        <v>83</v>
      </c>
      <c r="E110" s="13" t="s">
        <v>81</v>
      </c>
      <c r="F110" s="13" t="s">
        <v>84</v>
      </c>
      <c r="G110" s="13" t="s">
        <v>85</v>
      </c>
      <c r="H110" s="13" t="s">
        <v>86</v>
      </c>
      <c r="I110" s="13" t="s">
        <v>87</v>
      </c>
      <c r="J110" s="13" t="s">
        <v>88</v>
      </c>
      <c r="K110" s="13" t="s">
        <v>89</v>
      </c>
      <c r="L110" s="13" t="s">
        <v>90</v>
      </c>
      <c r="M110" s="261"/>
    </row>
    <row r="111" spans="2:13" ht="14.4" thickBot="1" x14ac:dyDescent="0.3">
      <c r="B111" s="265"/>
      <c r="C111" s="266"/>
      <c r="D111" s="266"/>
      <c r="E111" s="266"/>
      <c r="F111" s="266"/>
      <c r="G111" s="266"/>
      <c r="H111" s="266"/>
      <c r="I111" s="266"/>
      <c r="J111" s="266"/>
      <c r="K111" s="266"/>
      <c r="L111" s="266"/>
      <c r="M111" s="267"/>
    </row>
    <row r="112" spans="2:13" ht="14.4" thickTop="1" x14ac:dyDescent="0.25"/>
  </sheetData>
  <mergeCells count="4">
    <mergeCell ref="B2:M2"/>
    <mergeCell ref="B29:M29"/>
    <mergeCell ref="B53:M53"/>
    <mergeCell ref="B22:M22"/>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26F4-7A3F-4ECF-8665-0581FC6F7266}">
  <sheetPr>
    <tabColor rgb="FF0070C0"/>
  </sheetPr>
  <dimension ref="A1:BG26"/>
  <sheetViews>
    <sheetView showGridLines="0" topLeftCell="AK1" zoomScaleNormal="100" workbookViewId="0">
      <selection activeCell="AQ20" sqref="AQ20"/>
    </sheetView>
  </sheetViews>
  <sheetFormatPr defaultColWidth="9.21875" defaultRowHeight="10.199999999999999" x14ac:dyDescent="0.3"/>
  <cols>
    <col min="1" max="1" width="4.5546875" style="23" customWidth="1"/>
    <col min="2" max="2" width="14.6640625" style="23" customWidth="1"/>
    <col min="3" max="3" width="11.21875" style="23" customWidth="1"/>
    <col min="4" max="4" width="15.77734375" style="23" customWidth="1"/>
    <col min="5" max="5" width="15.109375" style="23" customWidth="1"/>
    <col min="6" max="18" width="5.77734375" style="24" customWidth="1"/>
    <col min="19" max="19" width="6.77734375" style="24" customWidth="1"/>
    <col min="20" max="36" width="5.77734375" style="24" customWidth="1"/>
    <col min="37" max="37" width="7.5546875" style="24" customWidth="1"/>
    <col min="38" max="38" width="12.6640625" style="24" customWidth="1"/>
    <col min="39" max="40" width="10.6640625" style="24" customWidth="1"/>
    <col min="41" max="41" width="8.33203125" style="24" customWidth="1"/>
    <col min="42" max="42" width="8.44140625" style="26" customWidth="1"/>
    <col min="43" max="43" width="21.21875" style="27" customWidth="1"/>
    <col min="44" max="44" width="10" style="27" customWidth="1"/>
    <col min="45" max="45" width="15.44140625" style="27" customWidth="1"/>
    <col min="46" max="46" width="15.21875" style="27" customWidth="1"/>
    <col min="47" max="47" width="13.88671875" style="27" customWidth="1"/>
    <col min="48" max="48" width="9.21875" style="23" customWidth="1"/>
    <col min="49" max="49" width="9.77734375" style="23" customWidth="1"/>
    <col min="50" max="50" width="14.77734375" style="23" customWidth="1"/>
    <col min="51" max="51" width="7" style="28" customWidth="1"/>
    <col min="52" max="52" width="9.21875" style="23" customWidth="1"/>
    <col min="53" max="53" width="16.109375" style="23" customWidth="1"/>
    <col min="54" max="54" width="9.21875" style="23" customWidth="1"/>
    <col min="55" max="16384" width="9.21875" style="23"/>
  </cols>
  <sheetData>
    <row r="1" spans="1:59" ht="30" x14ac:dyDescent="0.3">
      <c r="A1" s="238" t="s">
        <v>118</v>
      </c>
    </row>
    <row r="2" spans="1:59" ht="15.75" customHeight="1" thickBot="1" x14ac:dyDescent="0.35">
      <c r="AH2" s="23"/>
      <c r="AI2" s="23"/>
      <c r="AJ2" s="23"/>
      <c r="AK2" s="23"/>
      <c r="AL2" s="23"/>
      <c r="AM2" s="23"/>
      <c r="AN2" s="23"/>
      <c r="AO2" s="23"/>
      <c r="AP2" s="29"/>
    </row>
    <row r="3" spans="1:59" ht="14.25" customHeight="1" thickTop="1" thickBot="1" x14ac:dyDescent="0.35">
      <c r="B3" s="179" t="s">
        <v>330</v>
      </c>
      <c r="C3" s="184">
        <v>43770</v>
      </c>
      <c r="E3" s="279" t="s">
        <v>194</v>
      </c>
      <c r="F3" s="244" t="s">
        <v>92</v>
      </c>
      <c r="G3" s="224" t="s">
        <v>119</v>
      </c>
      <c r="H3" s="224"/>
      <c r="I3" s="224"/>
      <c r="J3" s="224"/>
      <c r="K3" s="224"/>
      <c r="L3" s="224"/>
      <c r="M3" s="247" t="s">
        <v>120</v>
      </c>
      <c r="N3" s="224"/>
      <c r="O3" s="224" t="s">
        <v>121</v>
      </c>
      <c r="P3" s="224"/>
      <c r="Q3" s="224"/>
      <c r="R3" s="224"/>
      <c r="S3" s="224"/>
      <c r="T3" s="224"/>
      <c r="U3" s="224"/>
      <c r="V3" s="224"/>
      <c r="W3" s="225"/>
      <c r="X3" s="23"/>
      <c r="Y3" s="23"/>
      <c r="Z3" s="23"/>
      <c r="AA3" s="30"/>
      <c r="AE3" s="23"/>
      <c r="AF3" s="23"/>
      <c r="AG3" s="23"/>
      <c r="AH3" s="23"/>
      <c r="AI3" s="23"/>
      <c r="AJ3" s="23"/>
      <c r="AK3" s="31"/>
      <c r="AL3" s="23"/>
      <c r="AM3" s="23"/>
      <c r="AN3" s="23"/>
      <c r="AO3" s="23"/>
      <c r="AP3" s="23"/>
      <c r="AQ3" s="32"/>
      <c r="AR3" s="23"/>
      <c r="AS3" s="23"/>
      <c r="AT3" s="23"/>
      <c r="AU3" s="23"/>
    </row>
    <row r="4" spans="1:59" ht="14.25" customHeight="1" thickTop="1" thickBot="1" x14ac:dyDescent="0.35">
      <c r="B4" s="180" t="s">
        <v>331</v>
      </c>
      <c r="C4" s="182">
        <f>EOMONTH(C3,0)</f>
        <v>43799</v>
      </c>
      <c r="E4" s="280"/>
      <c r="F4" s="245" t="s">
        <v>93</v>
      </c>
      <c r="G4" s="226" t="s">
        <v>122</v>
      </c>
      <c r="H4" s="226"/>
      <c r="I4" s="226"/>
      <c r="J4" s="226"/>
      <c r="K4" s="227"/>
      <c r="L4" s="227"/>
      <c r="M4" s="248" t="s">
        <v>123</v>
      </c>
      <c r="N4" s="227"/>
      <c r="O4" s="226" t="s">
        <v>124</v>
      </c>
      <c r="P4" s="226"/>
      <c r="Q4" s="226"/>
      <c r="R4" s="226"/>
      <c r="S4" s="226"/>
      <c r="T4" s="226"/>
      <c r="U4" s="228"/>
      <c r="V4" s="229"/>
      <c r="W4" s="230"/>
      <c r="X4" s="23"/>
      <c r="Y4" s="23"/>
      <c r="Z4" s="23"/>
      <c r="AA4" s="33"/>
      <c r="AE4" s="23"/>
      <c r="AF4" s="23"/>
      <c r="AG4" s="23"/>
      <c r="AH4" s="23"/>
      <c r="AI4" s="23"/>
      <c r="AJ4" s="23"/>
      <c r="AK4" s="31"/>
      <c r="AL4" s="23"/>
      <c r="AM4" s="23"/>
      <c r="AN4" s="23"/>
      <c r="AO4" s="23"/>
      <c r="AP4" s="23"/>
      <c r="AQ4" s="34"/>
      <c r="AR4" s="34"/>
      <c r="AS4" s="34"/>
      <c r="AT4" s="34"/>
      <c r="AU4" s="34"/>
      <c r="AV4" s="34"/>
    </row>
    <row r="5" spans="1:59" ht="15" thickTop="1" thickBot="1" x14ac:dyDescent="0.35">
      <c r="B5" s="180" t="s">
        <v>328</v>
      </c>
      <c r="C5" s="183">
        <f>DAY($C$4)-COUNTIF($F$14:$AJ$14,"CN")-COUNTIF($F$14:$AJ$14,"T7")/2</f>
        <v>23.5</v>
      </c>
      <c r="E5" s="280"/>
      <c r="F5" s="245" t="s">
        <v>126</v>
      </c>
      <c r="G5" s="226" t="s">
        <v>127</v>
      </c>
      <c r="H5" s="226"/>
      <c r="I5" s="226"/>
      <c r="J5" s="226"/>
      <c r="K5" s="227"/>
      <c r="L5" s="227"/>
      <c r="M5" s="248" t="s">
        <v>128</v>
      </c>
      <c r="N5" s="227"/>
      <c r="O5" s="226" t="s">
        <v>129</v>
      </c>
      <c r="P5" s="226"/>
      <c r="Q5" s="226"/>
      <c r="R5" s="226"/>
      <c r="S5" s="226"/>
      <c r="T5" s="226"/>
      <c r="U5" s="228"/>
      <c r="V5" s="229"/>
      <c r="W5" s="230"/>
      <c r="X5" s="23"/>
      <c r="Y5" s="23"/>
      <c r="Z5" s="23"/>
      <c r="AA5" s="33"/>
      <c r="AE5" s="23"/>
      <c r="AF5" s="23"/>
      <c r="AG5" s="23"/>
      <c r="AH5" s="23"/>
      <c r="AI5" s="23"/>
      <c r="AJ5" s="23"/>
      <c r="AK5" s="31"/>
      <c r="AL5" s="23"/>
      <c r="AM5" s="23"/>
      <c r="AN5" s="23"/>
      <c r="AO5" s="23"/>
      <c r="AP5" s="23"/>
      <c r="AQ5" s="34"/>
      <c r="AR5" s="34"/>
      <c r="AS5" s="34"/>
      <c r="AT5" s="34"/>
      <c r="AU5" s="34"/>
      <c r="AV5" s="34"/>
    </row>
    <row r="6" spans="1:59" ht="15" thickTop="1" thickBot="1" x14ac:dyDescent="0.35">
      <c r="B6" s="181" t="s">
        <v>329</v>
      </c>
      <c r="C6" s="183">
        <f>DAY($C$4)-COUNTIF($F$14:$AJ$14,"CN")</f>
        <v>26</v>
      </c>
      <c r="E6" s="280"/>
      <c r="F6" s="245" t="s">
        <v>82</v>
      </c>
      <c r="G6" s="226" t="s">
        <v>72</v>
      </c>
      <c r="H6" s="226"/>
      <c r="I6" s="226"/>
      <c r="J6" s="226"/>
      <c r="K6" s="227"/>
      <c r="L6" s="227"/>
      <c r="M6" s="248" t="s">
        <v>131</v>
      </c>
      <c r="N6" s="227"/>
      <c r="O6" s="226" t="s">
        <v>132</v>
      </c>
      <c r="P6" s="226"/>
      <c r="Q6" s="226"/>
      <c r="R6" s="226"/>
      <c r="S6" s="226"/>
      <c r="T6" s="226"/>
      <c r="U6" s="228"/>
      <c r="V6" s="229"/>
      <c r="W6" s="230"/>
      <c r="X6" s="23"/>
      <c r="Y6" s="23"/>
      <c r="Z6" s="23"/>
      <c r="AA6" s="33"/>
      <c r="AE6" s="23"/>
      <c r="AF6" s="23"/>
      <c r="AG6" s="23"/>
      <c r="AH6" s="23"/>
      <c r="AI6" s="23"/>
      <c r="AJ6" s="23"/>
      <c r="AK6" s="31"/>
      <c r="AL6" s="23"/>
      <c r="AM6" s="23"/>
      <c r="AN6" s="23"/>
      <c r="AO6" s="23"/>
      <c r="AP6" s="23"/>
      <c r="AQ6" s="34"/>
      <c r="AR6" s="34"/>
      <c r="AS6" s="34"/>
      <c r="AT6" s="34"/>
      <c r="AU6" s="34"/>
      <c r="AV6" s="34"/>
    </row>
    <row r="7" spans="1:59" ht="14.4" thickTop="1" x14ac:dyDescent="0.3">
      <c r="E7" s="280"/>
      <c r="F7" s="245" t="s">
        <v>83</v>
      </c>
      <c r="G7" s="226" t="s">
        <v>73</v>
      </c>
      <c r="H7" s="226"/>
      <c r="I7" s="226"/>
      <c r="J7" s="226"/>
      <c r="K7" s="227"/>
      <c r="L7" s="227"/>
      <c r="M7" s="248" t="s">
        <v>134</v>
      </c>
      <c r="N7" s="227"/>
      <c r="O7" s="226" t="s">
        <v>135</v>
      </c>
      <c r="P7" s="226"/>
      <c r="Q7" s="226"/>
      <c r="R7" s="226"/>
      <c r="S7" s="226"/>
      <c r="T7" s="226"/>
      <c r="U7" s="228"/>
      <c r="V7" s="229"/>
      <c r="W7" s="230"/>
      <c r="X7" s="23"/>
      <c r="Y7" s="23"/>
      <c r="Z7" s="23"/>
      <c r="AA7" s="35"/>
      <c r="AE7" s="23"/>
      <c r="AF7" s="23"/>
      <c r="AG7" s="23"/>
      <c r="AH7" s="23"/>
      <c r="AI7" s="23"/>
      <c r="AJ7" s="23"/>
      <c r="AK7" s="31"/>
      <c r="AL7" s="23"/>
      <c r="AM7" s="23"/>
      <c r="AN7" s="23"/>
      <c r="AO7" s="23"/>
      <c r="AP7" s="23"/>
      <c r="AQ7" s="34"/>
      <c r="AR7" s="34"/>
      <c r="AS7" s="34"/>
      <c r="AT7" s="34"/>
      <c r="AU7" s="34"/>
      <c r="AV7" s="34"/>
    </row>
    <row r="8" spans="1:59" ht="13.8" x14ac:dyDescent="0.3">
      <c r="E8" s="280"/>
      <c r="F8" s="245" t="s">
        <v>84</v>
      </c>
      <c r="G8" s="226" t="s">
        <v>70</v>
      </c>
      <c r="H8" s="226"/>
      <c r="I8" s="226"/>
      <c r="J8" s="226"/>
      <c r="K8" s="227"/>
      <c r="L8" s="227"/>
      <c r="M8" s="248" t="s">
        <v>137</v>
      </c>
      <c r="N8" s="227"/>
      <c r="O8" s="226" t="s">
        <v>138</v>
      </c>
      <c r="P8" s="226"/>
      <c r="Q8" s="226"/>
      <c r="R8" s="226"/>
      <c r="S8" s="226"/>
      <c r="T8" s="226"/>
      <c r="U8" s="228"/>
      <c r="V8" s="229"/>
      <c r="W8" s="230"/>
      <c r="X8" s="23"/>
      <c r="Y8" s="23"/>
      <c r="Z8" s="23"/>
      <c r="AA8" s="35"/>
      <c r="AE8" s="23"/>
      <c r="AF8" s="23"/>
      <c r="AG8" s="23"/>
      <c r="AH8" s="23"/>
      <c r="AI8" s="23"/>
      <c r="AJ8" s="23"/>
      <c r="AK8" s="31"/>
      <c r="AL8" s="23"/>
      <c r="AM8" s="23"/>
      <c r="AN8" s="23"/>
      <c r="AO8" s="23"/>
      <c r="AP8" s="23"/>
      <c r="AQ8" s="34"/>
      <c r="AR8" s="34"/>
      <c r="AS8" s="34"/>
      <c r="AT8" s="34"/>
      <c r="AU8" s="34"/>
      <c r="AV8" s="34"/>
    </row>
    <row r="9" spans="1:59" ht="13.8" x14ac:dyDescent="0.3">
      <c r="E9" s="280"/>
      <c r="F9" s="245" t="s">
        <v>139</v>
      </c>
      <c r="G9" s="226" t="s">
        <v>140</v>
      </c>
      <c r="H9" s="226"/>
      <c r="I9" s="226"/>
      <c r="J9" s="226"/>
      <c r="K9" s="227"/>
      <c r="L9" s="227"/>
      <c r="M9" s="248" t="s">
        <v>141</v>
      </c>
      <c r="N9" s="227"/>
      <c r="O9" s="226" t="s">
        <v>142</v>
      </c>
      <c r="P9" s="226"/>
      <c r="Q9" s="226"/>
      <c r="R9" s="226"/>
      <c r="S9" s="226"/>
      <c r="T9" s="226"/>
      <c r="U9" s="228"/>
      <c r="V9" s="229"/>
      <c r="W9" s="230"/>
      <c r="X9" s="23"/>
      <c r="Y9" s="23"/>
      <c r="Z9" s="23"/>
      <c r="AA9" s="35"/>
      <c r="AE9" s="23"/>
      <c r="AF9" s="23"/>
      <c r="AG9" s="23"/>
      <c r="AH9" s="23"/>
      <c r="AI9" s="23"/>
      <c r="AJ9" s="23"/>
      <c r="AK9" s="31"/>
      <c r="AL9" s="23"/>
      <c r="AM9" s="23"/>
      <c r="AN9" s="23"/>
      <c r="AO9" s="23"/>
      <c r="AP9" s="23"/>
      <c r="AQ9" s="34"/>
      <c r="AR9" s="34"/>
      <c r="AS9" s="34"/>
      <c r="AT9" s="34"/>
      <c r="AU9" s="34"/>
      <c r="AV9" s="34"/>
    </row>
    <row r="10" spans="1:59" ht="14.4" thickBot="1" x14ac:dyDescent="0.35">
      <c r="E10" s="281"/>
      <c r="F10" s="246" t="s">
        <v>81</v>
      </c>
      <c r="G10" s="231" t="s">
        <v>71</v>
      </c>
      <c r="H10" s="231"/>
      <c r="I10" s="231"/>
      <c r="J10" s="231"/>
      <c r="K10" s="231"/>
      <c r="L10" s="231"/>
      <c r="M10" s="231"/>
      <c r="N10" s="231"/>
      <c r="O10" s="231"/>
      <c r="P10" s="231"/>
      <c r="Q10" s="231"/>
      <c r="R10" s="231"/>
      <c r="S10" s="231"/>
      <c r="T10" s="231"/>
      <c r="U10" s="231"/>
      <c r="V10" s="231"/>
      <c r="W10" s="232"/>
      <c r="AE10" s="23"/>
      <c r="AF10" s="23"/>
      <c r="AG10" s="23"/>
      <c r="AH10" s="23"/>
      <c r="AI10" s="23"/>
      <c r="AJ10" s="25"/>
      <c r="AK10" s="26"/>
      <c r="AL10" s="23"/>
      <c r="AM10" s="23"/>
      <c r="AN10" s="23"/>
      <c r="AO10" s="23"/>
      <c r="AP10" s="23"/>
      <c r="AR10" s="23"/>
      <c r="AS10" s="23"/>
      <c r="AT10" s="23"/>
      <c r="AU10" s="23"/>
      <c r="AZ10" s="25"/>
    </row>
    <row r="11" spans="1:59" ht="12.6" thickTop="1" x14ac:dyDescent="0.3">
      <c r="D11" s="116"/>
      <c r="E11" s="117"/>
      <c r="F11" s="118"/>
      <c r="G11" s="118"/>
      <c r="H11" s="118"/>
      <c r="I11" s="118"/>
      <c r="J11" s="118"/>
      <c r="K11" s="118"/>
      <c r="L11" s="119"/>
      <c r="M11" s="119"/>
      <c r="N11" s="119"/>
      <c r="O11" s="119"/>
      <c r="P11" s="119"/>
      <c r="Q11" s="119"/>
      <c r="R11" s="119"/>
      <c r="S11" s="119"/>
      <c r="AE11" s="23"/>
      <c r="AF11" s="23"/>
      <c r="AG11" s="23"/>
      <c r="AH11" s="23"/>
      <c r="AI11" s="23"/>
      <c r="AJ11" s="25"/>
      <c r="AK11" s="26"/>
      <c r="AL11" s="23"/>
      <c r="AM11" s="23"/>
      <c r="AN11" s="23"/>
      <c r="AO11" s="23"/>
      <c r="AP11" s="23"/>
      <c r="AR11" s="23"/>
      <c r="AS11" s="23"/>
      <c r="AT11" s="23"/>
      <c r="AU11" s="23"/>
      <c r="AZ11" s="25"/>
    </row>
    <row r="12" spans="1:59" s="187" customFormat="1" ht="13.2" x14ac:dyDescent="0.3">
      <c r="A12" s="233" t="s">
        <v>91</v>
      </c>
      <c r="B12" s="234" t="s">
        <v>91</v>
      </c>
      <c r="C12" s="234" t="s">
        <v>91</v>
      </c>
      <c r="D12" s="234" t="s">
        <v>91</v>
      </c>
      <c r="E12" s="234" t="s">
        <v>91</v>
      </c>
      <c r="F12" s="235" t="s">
        <v>173</v>
      </c>
      <c r="G12" s="235" t="s">
        <v>173</v>
      </c>
      <c r="H12" s="235" t="s">
        <v>173</v>
      </c>
      <c r="I12" s="235" t="s">
        <v>173</v>
      </c>
      <c r="J12" s="235" t="s">
        <v>173</v>
      </c>
      <c r="K12" s="235" t="s">
        <v>173</v>
      </c>
      <c r="L12" s="235" t="s">
        <v>173</v>
      </c>
      <c r="M12" s="235" t="s">
        <v>173</v>
      </c>
      <c r="N12" s="235" t="s">
        <v>173</v>
      </c>
      <c r="O12" s="235" t="s">
        <v>173</v>
      </c>
      <c r="P12" s="235" t="s">
        <v>173</v>
      </c>
      <c r="Q12" s="235" t="s">
        <v>173</v>
      </c>
      <c r="R12" s="235" t="s">
        <v>173</v>
      </c>
      <c r="S12" s="235" t="s">
        <v>173</v>
      </c>
      <c r="T12" s="235" t="s">
        <v>173</v>
      </c>
      <c r="U12" s="235" t="s">
        <v>173</v>
      </c>
      <c r="V12" s="235" t="s">
        <v>173</v>
      </c>
      <c r="W12" s="235" t="s">
        <v>173</v>
      </c>
      <c r="X12" s="235" t="s">
        <v>173</v>
      </c>
      <c r="Y12" s="235" t="s">
        <v>173</v>
      </c>
      <c r="Z12" s="235" t="s">
        <v>173</v>
      </c>
      <c r="AA12" s="235" t="s">
        <v>173</v>
      </c>
      <c r="AB12" s="235" t="s">
        <v>173</v>
      </c>
      <c r="AC12" s="235" t="s">
        <v>173</v>
      </c>
      <c r="AD12" s="235" t="s">
        <v>173</v>
      </c>
      <c r="AE12" s="235" t="s">
        <v>173</v>
      </c>
      <c r="AF12" s="235" t="s">
        <v>173</v>
      </c>
      <c r="AG12" s="235" t="s">
        <v>173</v>
      </c>
      <c r="AH12" s="235" t="s">
        <v>173</v>
      </c>
      <c r="AI12" s="235" t="s">
        <v>173</v>
      </c>
      <c r="AJ12" s="235" t="s">
        <v>173</v>
      </c>
      <c r="AK12" s="236" t="s">
        <v>249</v>
      </c>
      <c r="AL12" s="234" t="s">
        <v>91</v>
      </c>
      <c r="AM12" s="234" t="s">
        <v>91</v>
      </c>
      <c r="AN12" s="234" t="s">
        <v>91</v>
      </c>
      <c r="AO12" s="237" t="s">
        <v>91</v>
      </c>
      <c r="AP12" s="221"/>
      <c r="AQ12" s="239" t="s">
        <v>173</v>
      </c>
      <c r="AR12" s="235" t="s">
        <v>173</v>
      </c>
      <c r="AS12" s="235" t="s">
        <v>173</v>
      </c>
      <c r="AT12" s="235" t="s">
        <v>173</v>
      </c>
      <c r="AU12" s="235" t="s">
        <v>173</v>
      </c>
      <c r="AV12" s="235" t="s">
        <v>173</v>
      </c>
      <c r="AW12" s="235" t="s">
        <v>173</v>
      </c>
      <c r="AX12" s="240" t="s">
        <v>173</v>
      </c>
      <c r="AY12" s="222"/>
      <c r="AZ12" s="241" t="s">
        <v>91</v>
      </c>
      <c r="BA12" s="235" t="s">
        <v>173</v>
      </c>
      <c r="BB12" s="240" t="s">
        <v>173</v>
      </c>
    </row>
    <row r="13" spans="1:59" s="220" customFormat="1" ht="15" customHeight="1" x14ac:dyDescent="0.3">
      <c r="A13" s="187"/>
      <c r="B13" s="187"/>
      <c r="C13" s="215"/>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7"/>
      <c r="AQ13" s="218">
        <f t="shared" ref="AQ13:AX13" si="0">SUBTOTAL(9,AQ16:AQ25)</f>
        <v>248</v>
      </c>
      <c r="AR13" s="218">
        <f t="shared" si="0"/>
        <v>0</v>
      </c>
      <c r="AS13" s="218">
        <f t="shared" si="0"/>
        <v>12</v>
      </c>
      <c r="AT13" s="218"/>
      <c r="AU13" s="218">
        <f t="shared" si="0"/>
        <v>12</v>
      </c>
      <c r="AV13" s="218">
        <f t="shared" si="0"/>
        <v>257.5</v>
      </c>
      <c r="AW13" s="218">
        <f t="shared" si="0"/>
        <v>248</v>
      </c>
      <c r="AX13" s="218">
        <f t="shared" si="0"/>
        <v>-2.5</v>
      </c>
      <c r="AY13" s="219"/>
      <c r="AZ13" s="218">
        <f>SUBTOTAL(9,AZ16:AZ25)</f>
        <v>9</v>
      </c>
      <c r="BA13" s="218">
        <f>SUBTOTAL(9,BA16:BA25)</f>
        <v>2.5</v>
      </c>
      <c r="BB13" s="218">
        <f>SUBTOTAL(9,BB16:BB25)</f>
        <v>6.5</v>
      </c>
      <c r="BC13" s="187"/>
      <c r="BD13" s="187"/>
      <c r="BE13" s="187"/>
      <c r="BF13" s="187"/>
      <c r="BG13" s="187"/>
    </row>
    <row r="14" spans="1:59" s="188" customFormat="1" ht="25.8" customHeight="1" x14ac:dyDescent="0.3">
      <c r="A14" s="287" t="s">
        <v>27</v>
      </c>
      <c r="B14" s="287" t="s">
        <v>143</v>
      </c>
      <c r="C14" s="289" t="s">
        <v>144</v>
      </c>
      <c r="D14" s="289" t="s">
        <v>145</v>
      </c>
      <c r="E14" s="289" t="s">
        <v>146</v>
      </c>
      <c r="F14" s="185" t="str">
        <f t="shared" ref="F14:AJ14" si="1">IF(IF(LEN(F15)=0,"",WEEKDAY(F15))=1,"CN",IF(LEN(F15)=0,"","T" &amp; WEEKDAY(F15)))</f>
        <v>T6</v>
      </c>
      <c r="G14" s="185" t="str">
        <f t="shared" si="1"/>
        <v>T7</v>
      </c>
      <c r="H14" s="185" t="str">
        <f t="shared" si="1"/>
        <v>CN</v>
      </c>
      <c r="I14" s="185" t="str">
        <f t="shared" si="1"/>
        <v>T2</v>
      </c>
      <c r="J14" s="185" t="str">
        <f t="shared" si="1"/>
        <v>T3</v>
      </c>
      <c r="K14" s="185" t="str">
        <f t="shared" si="1"/>
        <v>T4</v>
      </c>
      <c r="L14" s="185" t="str">
        <f t="shared" si="1"/>
        <v>T5</v>
      </c>
      <c r="M14" s="185" t="str">
        <f t="shared" si="1"/>
        <v>T6</v>
      </c>
      <c r="N14" s="185" t="str">
        <f t="shared" si="1"/>
        <v>T7</v>
      </c>
      <c r="O14" s="185" t="str">
        <f t="shared" si="1"/>
        <v>CN</v>
      </c>
      <c r="P14" s="185" t="str">
        <f t="shared" si="1"/>
        <v>T2</v>
      </c>
      <c r="Q14" s="185" t="str">
        <f t="shared" si="1"/>
        <v>T3</v>
      </c>
      <c r="R14" s="185" t="str">
        <f t="shared" si="1"/>
        <v>T4</v>
      </c>
      <c r="S14" s="185" t="str">
        <f t="shared" si="1"/>
        <v>T5</v>
      </c>
      <c r="T14" s="185" t="str">
        <f t="shared" si="1"/>
        <v>T6</v>
      </c>
      <c r="U14" s="185" t="str">
        <f t="shared" si="1"/>
        <v>T7</v>
      </c>
      <c r="V14" s="185" t="str">
        <f t="shared" si="1"/>
        <v>CN</v>
      </c>
      <c r="W14" s="185" t="str">
        <f t="shared" si="1"/>
        <v>T2</v>
      </c>
      <c r="X14" s="185" t="str">
        <f t="shared" si="1"/>
        <v>T3</v>
      </c>
      <c r="Y14" s="185" t="str">
        <f t="shared" si="1"/>
        <v>T4</v>
      </c>
      <c r="Z14" s="185" t="str">
        <f t="shared" si="1"/>
        <v>T5</v>
      </c>
      <c r="AA14" s="185" t="str">
        <f t="shared" si="1"/>
        <v>T6</v>
      </c>
      <c r="AB14" s="185" t="str">
        <f t="shared" si="1"/>
        <v>T7</v>
      </c>
      <c r="AC14" s="185" t="str">
        <f t="shared" si="1"/>
        <v>CN</v>
      </c>
      <c r="AD14" s="185" t="str">
        <f t="shared" si="1"/>
        <v>T2</v>
      </c>
      <c r="AE14" s="185" t="str">
        <f t="shared" si="1"/>
        <v>T3</v>
      </c>
      <c r="AF14" s="185" t="str">
        <f t="shared" si="1"/>
        <v>T4</v>
      </c>
      <c r="AG14" s="185" t="str">
        <f t="shared" si="1"/>
        <v>T5</v>
      </c>
      <c r="AH14" s="185" t="str">
        <f t="shared" si="1"/>
        <v>T6</v>
      </c>
      <c r="AI14" s="185" t="str">
        <f t="shared" si="1"/>
        <v>T7</v>
      </c>
      <c r="AJ14" s="185" t="str">
        <f t="shared" si="1"/>
        <v/>
      </c>
      <c r="AK14" s="282" t="s">
        <v>147</v>
      </c>
      <c r="AL14" s="284" t="s">
        <v>112</v>
      </c>
      <c r="AM14" s="282" t="s">
        <v>309</v>
      </c>
      <c r="AN14" s="282" t="s">
        <v>357</v>
      </c>
      <c r="AO14" s="282" t="s">
        <v>310</v>
      </c>
      <c r="AP14" s="286"/>
      <c r="AQ14" s="276" t="s">
        <v>195</v>
      </c>
      <c r="AR14" s="277"/>
      <c r="AS14" s="277"/>
      <c r="AT14" s="277"/>
      <c r="AU14" s="277"/>
      <c r="AV14" s="277"/>
      <c r="AW14" s="277"/>
      <c r="AX14" s="278"/>
      <c r="AY14" s="186"/>
      <c r="AZ14" s="275" t="s">
        <v>153</v>
      </c>
      <c r="BA14" s="275"/>
      <c r="BB14" s="275"/>
      <c r="BC14" s="187"/>
      <c r="BD14" s="187"/>
      <c r="BE14" s="187"/>
      <c r="BF14" s="187"/>
      <c r="BG14" s="187"/>
    </row>
    <row r="15" spans="1:59" s="188" customFormat="1" ht="28.2" customHeight="1" x14ac:dyDescent="0.3">
      <c r="A15" s="288"/>
      <c r="B15" s="288" t="s">
        <v>154</v>
      </c>
      <c r="C15" s="289"/>
      <c r="D15" s="289"/>
      <c r="E15" s="289"/>
      <c r="F15" s="223">
        <f>$C$3</f>
        <v>43770</v>
      </c>
      <c r="G15" s="189">
        <f t="shared" ref="G15:AJ15" si="2">IF(LEN(F15)=0,"", IF(F15+1&gt;$C$4,"",F15+1))</f>
        <v>43771</v>
      </c>
      <c r="H15" s="189">
        <f t="shared" si="2"/>
        <v>43772</v>
      </c>
      <c r="I15" s="189">
        <f t="shared" si="2"/>
        <v>43773</v>
      </c>
      <c r="J15" s="189">
        <f t="shared" si="2"/>
        <v>43774</v>
      </c>
      <c r="K15" s="189">
        <f t="shared" si="2"/>
        <v>43775</v>
      </c>
      <c r="L15" s="189">
        <f t="shared" si="2"/>
        <v>43776</v>
      </c>
      <c r="M15" s="189">
        <f t="shared" si="2"/>
        <v>43777</v>
      </c>
      <c r="N15" s="189">
        <f t="shared" si="2"/>
        <v>43778</v>
      </c>
      <c r="O15" s="189">
        <f t="shared" si="2"/>
        <v>43779</v>
      </c>
      <c r="P15" s="189">
        <f t="shared" si="2"/>
        <v>43780</v>
      </c>
      <c r="Q15" s="189">
        <f t="shared" si="2"/>
        <v>43781</v>
      </c>
      <c r="R15" s="189">
        <f t="shared" si="2"/>
        <v>43782</v>
      </c>
      <c r="S15" s="189">
        <f t="shared" si="2"/>
        <v>43783</v>
      </c>
      <c r="T15" s="189">
        <f t="shared" si="2"/>
        <v>43784</v>
      </c>
      <c r="U15" s="189">
        <f t="shared" si="2"/>
        <v>43785</v>
      </c>
      <c r="V15" s="189">
        <f t="shared" si="2"/>
        <v>43786</v>
      </c>
      <c r="W15" s="189">
        <f t="shared" si="2"/>
        <v>43787</v>
      </c>
      <c r="X15" s="189">
        <f t="shared" si="2"/>
        <v>43788</v>
      </c>
      <c r="Y15" s="189">
        <f t="shared" si="2"/>
        <v>43789</v>
      </c>
      <c r="Z15" s="189">
        <f t="shared" si="2"/>
        <v>43790</v>
      </c>
      <c r="AA15" s="189">
        <f t="shared" si="2"/>
        <v>43791</v>
      </c>
      <c r="AB15" s="189">
        <f t="shared" si="2"/>
        <v>43792</v>
      </c>
      <c r="AC15" s="189">
        <f t="shared" si="2"/>
        <v>43793</v>
      </c>
      <c r="AD15" s="189">
        <f t="shared" si="2"/>
        <v>43794</v>
      </c>
      <c r="AE15" s="189">
        <f t="shared" si="2"/>
        <v>43795</v>
      </c>
      <c r="AF15" s="189">
        <f t="shared" si="2"/>
        <v>43796</v>
      </c>
      <c r="AG15" s="189">
        <f t="shared" si="2"/>
        <v>43797</v>
      </c>
      <c r="AH15" s="189">
        <f t="shared" si="2"/>
        <v>43798</v>
      </c>
      <c r="AI15" s="189">
        <f t="shared" si="2"/>
        <v>43799</v>
      </c>
      <c r="AJ15" s="189" t="str">
        <f t="shared" si="2"/>
        <v/>
      </c>
      <c r="AK15" s="283"/>
      <c r="AL15" s="285"/>
      <c r="AM15" s="283"/>
      <c r="AN15" s="283"/>
      <c r="AO15" s="283"/>
      <c r="AP15" s="286"/>
      <c r="AQ15" s="190" t="s">
        <v>148</v>
      </c>
      <c r="AR15" s="190" t="s">
        <v>149</v>
      </c>
      <c r="AS15" s="190" t="s">
        <v>311</v>
      </c>
      <c r="AT15" s="190" t="s">
        <v>312</v>
      </c>
      <c r="AU15" s="190" t="s">
        <v>150</v>
      </c>
      <c r="AV15" s="191" t="s">
        <v>98</v>
      </c>
      <c r="AW15" s="191" t="s">
        <v>151</v>
      </c>
      <c r="AX15" s="191" t="s">
        <v>152</v>
      </c>
      <c r="AY15" s="186"/>
      <c r="AZ15" s="192" t="s">
        <v>155</v>
      </c>
      <c r="BA15" s="193" t="s">
        <v>156</v>
      </c>
      <c r="BB15" s="193" t="s">
        <v>157</v>
      </c>
    </row>
    <row r="16" spans="1:59" s="209" customFormat="1" ht="23.4" customHeight="1" x14ac:dyDescent="0.3">
      <c r="A16" s="194">
        <v>1</v>
      </c>
      <c r="B16" s="195" t="s">
        <v>158</v>
      </c>
      <c r="C16" s="194" t="s">
        <v>4</v>
      </c>
      <c r="D16" s="195" t="s">
        <v>14</v>
      </c>
      <c r="E16" s="195" t="s">
        <v>159</v>
      </c>
      <c r="F16" s="196" t="str">
        <f t="array" ref="F16">INDEX('4. Tổng hợp dữ liệu'!$AN:$AN,MATCH(1,('4. Tổng hợp dữ liệu'!$A:$A='5. Bảng CC'!$C16)*('4. Tổng hợp dữ liệu'!$J:$J='5. Bảng CC'!F$15),0),1)</f>
        <v>Ô:8</v>
      </c>
      <c r="G16" s="196" t="str">
        <f t="array" ref="G16">INDEX('4. Tổng hợp dữ liệu'!$AN:$AN,MATCH(1,('4. Tổng hợp dữ liệu'!$A:$A='5. Bảng CC'!$C16)*('4. Tổng hợp dữ liệu'!$J:$J='5. Bảng CC'!G$15),0),1)</f>
        <v>Ô:8</v>
      </c>
      <c r="H16" s="196" t="str">
        <f t="array" ref="H16">INDEX('4. Tổng hợp dữ liệu'!$AN:$AN,MATCH(1,('4. Tổng hợp dữ liệu'!$A:$A='5. Bảng CC'!$C16)*('4. Tổng hợp dữ liệu'!$J:$J='5. Bảng CC'!H$15),0),1)</f>
        <v>OFF</v>
      </c>
      <c r="I16" s="196" t="str">
        <f t="array" ref="I16">INDEX('4. Tổng hợp dữ liệu'!$AN:$AN,MATCH(1,('4. Tổng hợp dữ liệu'!$A:$A='5. Bảng CC'!$C16)*('4. Tổng hợp dữ liệu'!$J:$J='5. Bảng CC'!I$15),0),1)</f>
        <v>Ô:8</v>
      </c>
      <c r="J16" s="196" t="str">
        <f t="array" ref="J16">INDEX('4. Tổng hợp dữ liệu'!$AN:$AN,MATCH(1,('4. Tổng hợp dữ liệu'!$A:$A='5. Bảng CC'!$C16)*('4. Tổng hợp dữ liệu'!$J:$J='5. Bảng CC'!J$15),0),1)</f>
        <v>Ô:8</v>
      </c>
      <c r="K16" s="196" t="str">
        <f t="array" ref="K16">INDEX('4. Tổng hợp dữ liệu'!$AN:$AN,MATCH(1,('4. Tổng hợp dữ liệu'!$A:$A='5. Bảng CC'!$C16)*('4. Tổng hợp dữ liệu'!$J:$J='5. Bảng CC'!K$15),0),1)</f>
        <v>Ô:8</v>
      </c>
      <c r="L16" s="196" t="str">
        <f t="array" ref="L16">INDEX('4. Tổng hợp dữ liệu'!$AN:$AN,MATCH(1,('4. Tổng hợp dữ liệu'!$A:$A='5. Bảng CC'!$C16)*('4. Tổng hợp dữ liệu'!$J:$J='5. Bảng CC'!L$15),0),1)</f>
        <v>X:8</v>
      </c>
      <c r="M16" s="196" t="str">
        <f t="array" ref="M16">INDEX('4. Tổng hợp dữ liệu'!$AN:$AN,MATCH(1,('4. Tổng hợp dữ liệu'!$A:$A='5. Bảng CC'!$C16)*('4. Tổng hợp dữ liệu'!$J:$J='5. Bảng CC'!M$15),0),1)</f>
        <v>X:8</v>
      </c>
      <c r="N16" s="196" t="str">
        <f t="array" ref="N16">INDEX('4. Tổng hợp dữ liệu'!$AN:$AN,MATCH(1,('4. Tổng hợp dữ liệu'!$A:$A='5. Bảng CC'!$C16)*('4. Tổng hợp dữ liệu'!$J:$J='5. Bảng CC'!N$15),0),1)</f>
        <v>X:8</v>
      </c>
      <c r="O16" s="196" t="str">
        <f t="array" ref="O16">INDEX('4. Tổng hợp dữ liệu'!$AN:$AN,MATCH(1,('4. Tổng hợp dữ liệu'!$A:$A='5. Bảng CC'!$C16)*('4. Tổng hợp dữ liệu'!$J:$J='5. Bảng CC'!O$15),0),1)</f>
        <v>OFF</v>
      </c>
      <c r="P16" s="196" t="str">
        <f t="array" ref="P16">INDEX('4. Tổng hợp dữ liệu'!$AN:$AN,MATCH(1,('4. Tổng hợp dữ liệu'!$A:$A='5. Bảng CC'!$C16)*('4. Tổng hợp dữ liệu'!$J:$J='5. Bảng CC'!P$15),0),1)</f>
        <v>X:8</v>
      </c>
      <c r="Q16" s="196" t="str">
        <f t="array" ref="Q16">INDEX('4. Tổng hợp dữ liệu'!$AN:$AN,MATCH(1,('4. Tổng hợp dữ liệu'!$A:$A='5. Bảng CC'!$C16)*('4. Tổng hợp dữ liệu'!$J:$J='5. Bảng CC'!Q$15),0),1)</f>
        <v>X:8</v>
      </c>
      <c r="R16" s="196" t="str">
        <f t="array" ref="R16">INDEX('4. Tổng hợp dữ liệu'!$AN:$AN,MATCH(1,('4. Tổng hợp dữ liệu'!$A:$A='5. Bảng CC'!$C16)*('4. Tổng hợp dữ liệu'!$J:$J='5. Bảng CC'!R$15),0),1)</f>
        <v>X:8</v>
      </c>
      <c r="S16" s="196" t="str">
        <f t="array" ref="S16">INDEX('4. Tổng hợp dữ liệu'!$AN:$AN,MATCH(1,('4. Tổng hợp dữ liệu'!$A:$A='5. Bảng CC'!$C16)*('4. Tổng hợp dữ liệu'!$J:$J='5. Bảng CC'!S$15),0),1)</f>
        <v>X:8</v>
      </c>
      <c r="T16" s="196" t="str">
        <f t="array" ref="T16">INDEX('4. Tổng hợp dữ liệu'!$AN:$AN,MATCH(1,('4. Tổng hợp dữ liệu'!$A:$A='5. Bảng CC'!$C16)*('4. Tổng hợp dữ liệu'!$J:$J='5. Bảng CC'!T$15),0),1)</f>
        <v>X:8</v>
      </c>
      <c r="U16" s="196" t="str">
        <f t="array" ref="U16">INDEX('4. Tổng hợp dữ liệu'!$AN:$AN,MATCH(1,('4. Tổng hợp dữ liệu'!$A:$A='5. Bảng CC'!$C16)*('4. Tổng hợp dữ liệu'!$J:$J='5. Bảng CC'!U$15),0),1)</f>
        <v>P:8</v>
      </c>
      <c r="V16" s="196" t="str">
        <f t="array" ref="V16">INDEX('4. Tổng hợp dữ liệu'!$AN:$AN,MATCH(1,('4. Tổng hợp dữ liệu'!$A:$A='5. Bảng CC'!$C16)*('4. Tổng hợp dữ liệu'!$J:$J='5. Bảng CC'!V$15),0),1)</f>
        <v>OFF</v>
      </c>
      <c r="W16" s="196" t="str">
        <f t="array" ref="W16">INDEX('4. Tổng hợp dữ liệu'!$AN:$AN,MATCH(1,('4. Tổng hợp dữ liệu'!$A:$A='5. Bảng CC'!$C16)*('4. Tổng hợp dữ liệu'!$J:$J='5. Bảng CC'!W$15),0),1)</f>
        <v>X:8</v>
      </c>
      <c r="X16" s="196" t="str">
        <f t="array" ref="X16">INDEX('4. Tổng hợp dữ liệu'!$AN:$AN,MATCH(1,('4. Tổng hợp dữ liệu'!$A:$A='5. Bảng CC'!$C16)*('4. Tổng hợp dữ liệu'!$J:$J='5. Bảng CC'!X$15),0),1)</f>
        <v>X:8</v>
      </c>
      <c r="Y16" s="196" t="str">
        <f t="array" ref="Y16">INDEX('4. Tổng hợp dữ liệu'!$AN:$AN,MATCH(1,('4. Tổng hợp dữ liệu'!$A:$A='5. Bảng CC'!$C16)*('4. Tổng hợp dữ liệu'!$J:$J='5. Bảng CC'!Y$15),0),1)</f>
        <v>X:8</v>
      </c>
      <c r="Z16" s="196" t="str">
        <f t="array" ref="Z16">INDEX('4. Tổng hợp dữ liệu'!$AN:$AN,MATCH(1,('4. Tổng hợp dữ liệu'!$A:$A='5. Bảng CC'!$C16)*('4. Tổng hợp dữ liệu'!$J:$J='5. Bảng CC'!Z$15),0),1)</f>
        <v>X:8</v>
      </c>
      <c r="AA16" s="196" t="str">
        <f t="array" ref="AA16">INDEX('4. Tổng hợp dữ liệu'!$AN:$AN,MATCH(1,('4. Tổng hợp dữ liệu'!$A:$A='5. Bảng CC'!$C16)*('4. Tổng hợp dữ liệu'!$J:$J='5. Bảng CC'!AA$15),0),1)</f>
        <v>X:8</v>
      </c>
      <c r="AB16" s="196" t="str">
        <f t="array" ref="AB16">INDEX('4. Tổng hợp dữ liệu'!$AN:$AN,MATCH(1,('4. Tổng hợp dữ liệu'!$A:$A='5. Bảng CC'!$C16)*('4. Tổng hợp dữ liệu'!$J:$J='5. Bảng CC'!AB$15),0),1)</f>
        <v>X:8</v>
      </c>
      <c r="AC16" s="196" t="str">
        <f t="array" ref="AC16">INDEX('4. Tổng hợp dữ liệu'!$AN:$AN,MATCH(1,('4. Tổng hợp dữ liệu'!$A:$A='5. Bảng CC'!$C16)*('4. Tổng hợp dữ liệu'!$J:$J='5. Bảng CC'!AC$15),0),1)</f>
        <v>OFF</v>
      </c>
      <c r="AD16" s="196" t="str">
        <f t="array" ref="AD16">INDEX('4. Tổng hợp dữ liệu'!$AN:$AN,MATCH(1,('4. Tổng hợp dữ liệu'!$A:$A='5. Bảng CC'!$C16)*('4. Tổng hợp dữ liệu'!$J:$J='5. Bảng CC'!AD$15),0),1)</f>
        <v>X:8</v>
      </c>
      <c r="AE16" s="196" t="str">
        <f t="array" ref="AE16">INDEX('4. Tổng hợp dữ liệu'!$AN:$AN,MATCH(1,('4. Tổng hợp dữ liệu'!$A:$A='5. Bảng CC'!$C16)*('4. Tổng hợp dữ liệu'!$J:$J='5. Bảng CC'!AE$15),0),1)</f>
        <v>X:8</v>
      </c>
      <c r="AF16" s="196" t="str">
        <f t="array" ref="AF16">INDEX('4. Tổng hợp dữ liệu'!$AN:$AN,MATCH(1,('4. Tổng hợp dữ liệu'!$A:$A='5. Bảng CC'!$C16)*('4. Tổng hợp dữ liệu'!$J:$J='5. Bảng CC'!AF$15),0),1)</f>
        <v>X:8</v>
      </c>
      <c r="AG16" s="196" t="str">
        <f t="array" ref="AG16">INDEX('4. Tổng hợp dữ liệu'!$AN:$AN,MATCH(1,('4. Tổng hợp dữ liệu'!$A:$A='5. Bảng CC'!$C16)*('4. Tổng hợp dữ liệu'!$J:$J='5. Bảng CC'!AG$15),0),1)</f>
        <v>X:8</v>
      </c>
      <c r="AH16" s="196" t="str">
        <f t="array" ref="AH16">INDEX('4. Tổng hợp dữ liệu'!$AN:$AN,MATCH(1,('4. Tổng hợp dữ liệu'!$A:$A='5. Bảng CC'!$C16)*('4. Tổng hợp dữ liệu'!$J:$J='5. Bảng CC'!AH$15),0),1)</f>
        <v>X:8</v>
      </c>
      <c r="AI16" s="196" t="str">
        <f t="array" ref="AI16">INDEX('4. Tổng hợp dữ liệu'!$AN:$AN,MATCH(1,('4. Tổng hợp dữ liệu'!$A:$A='5. Bảng CC'!$C16)*('4. Tổng hợp dữ liệu'!$J:$J='5. Bảng CC'!AI$15),0),1)</f>
        <v>X:8</v>
      </c>
      <c r="AJ16" s="196"/>
      <c r="AK16" s="197" t="s">
        <v>133</v>
      </c>
      <c r="AL16" s="198"/>
      <c r="AM16" s="199" t="s">
        <v>0</v>
      </c>
      <c r="AN16" s="199">
        <v>73415</v>
      </c>
      <c r="AO16" s="200">
        <f t="shared" ref="AO16" si="3">COUNTIF(F16:AJ16,"OFF")+COUNTIF(F16:AJ16,"X:4,OFF:4")/2 + COUNTIF(F16:AJ16,"X:4,K")/2+COUNTIF(F16:AJ16,"Ro:4,OFF:4")/2+COUNTIF(F16:AJ16,"P:4,OFF:4")/2</f>
        <v>4</v>
      </c>
      <c r="AP16" s="201"/>
      <c r="AQ16" s="202">
        <f>SUMIFS('4. Tổng hợp dữ liệu'!AP:AP,'4. Tổng hợp dữ liệu'!A:A,'5. Bảng CC'!C16)</f>
        <v>21</v>
      </c>
      <c r="AR16" s="202">
        <f>SUMIFS('4. Tổng hợp dữ liệu'!AR:AR,'4. Tổng hợp dữ liệu'!A:A,'5. Bảng CC'!C16)</f>
        <v>0</v>
      </c>
      <c r="AS16" s="202">
        <f>IF(AN16="",SUMIFS('4. Tổng hợp dữ liệu'!$AP:$AP,'4. Tổng hợp dữ liệu'!$A:$A,'5. Bảng CC'!C16),
IF(AN16&lt;&gt;"",SUMIFS('4. Tổng hợp dữ liệu'!$AP:$AP,'4. Tổng hợp dữ liệu'!$A:$A,'5. Bảng CC'!C16,'4. Tổng hợp dữ liệu'!$J:$J,"&gt;"&amp;$AN16)))</f>
        <v>0</v>
      </c>
      <c r="AT16" s="202">
        <f>IF(AN16="",0,
IF(AN16&lt;&gt;"",SUMIFS('4. Tổng hợp dữ liệu'!$AP:$AP,'4. Tổng hợp dữ liệu'!$A:$A,'5. Bảng CC'!C16,'4. Tổng hợp dữ liệu'!$J:$J,"&lt;="&amp;$AN16)))</f>
        <v>21</v>
      </c>
      <c r="AU16" s="202">
        <f>SUMIFS('4. Tổng hợp dữ liệu'!AQ:AQ,'4. Tổng hợp dữ liệu'!A:A,'5. Bảng CC'!C16)</f>
        <v>5</v>
      </c>
      <c r="AV16" s="203">
        <f>IF(AK16="HC",$C$5,
IF(AK16="DV",$C$6))</f>
        <v>23.5</v>
      </c>
      <c r="AW16" s="203">
        <f>AQ16</f>
        <v>21</v>
      </c>
      <c r="AX16" s="204">
        <f t="shared" ref="AX16" si="4">AV16-AQ16-AU16</f>
        <v>-2.5</v>
      </c>
      <c r="AY16" s="205"/>
      <c r="AZ16" s="206">
        <v>1</v>
      </c>
      <c r="BA16" s="207">
        <f>SUMIFS('4. Tổng hợp dữ liệu'!AT:AT,'4. Tổng hợp dữ liệu'!A:A,'5. Bảng CC'!C16)</f>
        <v>0</v>
      </c>
      <c r="BB16" s="208">
        <f>AZ16-BA16</f>
        <v>1</v>
      </c>
    </row>
    <row r="17" spans="1:54" s="211" customFormat="1" ht="23.4" customHeight="1" x14ac:dyDescent="0.3">
      <c r="A17" s="194">
        <v>2</v>
      </c>
      <c r="B17" s="195" t="s">
        <v>29</v>
      </c>
      <c r="C17" s="194" t="s">
        <v>5</v>
      </c>
      <c r="D17" s="195" t="s">
        <v>28</v>
      </c>
      <c r="E17" s="195" t="s">
        <v>160</v>
      </c>
      <c r="F17" s="196" t="s">
        <v>92</v>
      </c>
      <c r="G17" s="196" t="s">
        <v>92</v>
      </c>
      <c r="H17" s="196" t="s">
        <v>93</v>
      </c>
      <c r="I17" s="196" t="s">
        <v>92</v>
      </c>
      <c r="J17" s="196" t="s">
        <v>92</v>
      </c>
      <c r="K17" s="196" t="s">
        <v>92</v>
      </c>
      <c r="L17" s="196" t="s">
        <v>92</v>
      </c>
      <c r="M17" s="196" t="s">
        <v>92</v>
      </c>
      <c r="N17" s="196" t="s">
        <v>137</v>
      </c>
      <c r="O17" s="196" t="s">
        <v>93</v>
      </c>
      <c r="P17" s="196" t="s">
        <v>92</v>
      </c>
      <c r="Q17" s="196" t="s">
        <v>92</v>
      </c>
      <c r="R17" s="196" t="s">
        <v>92</v>
      </c>
      <c r="S17" s="196" t="s">
        <v>92</v>
      </c>
      <c r="T17" s="196" t="s">
        <v>92</v>
      </c>
      <c r="U17" s="196" t="s">
        <v>92</v>
      </c>
      <c r="V17" s="196" t="s">
        <v>93</v>
      </c>
      <c r="W17" s="196" t="s">
        <v>137</v>
      </c>
      <c r="X17" s="196" t="s">
        <v>92</v>
      </c>
      <c r="Y17" s="196" t="s">
        <v>92</v>
      </c>
      <c r="Z17" s="196" t="s">
        <v>92</v>
      </c>
      <c r="AA17" s="196" t="s">
        <v>92</v>
      </c>
      <c r="AB17" s="196" t="s">
        <v>92</v>
      </c>
      <c r="AC17" s="196" t="s">
        <v>93</v>
      </c>
      <c r="AD17" s="196" t="s">
        <v>92</v>
      </c>
      <c r="AE17" s="196" t="s">
        <v>92</v>
      </c>
      <c r="AF17" s="196" t="s">
        <v>92</v>
      </c>
      <c r="AG17" s="196" t="s">
        <v>92</v>
      </c>
      <c r="AH17" s="196" t="s">
        <v>137</v>
      </c>
      <c r="AI17" s="196" t="s">
        <v>137</v>
      </c>
      <c r="AJ17" s="210"/>
      <c r="AK17" s="197" t="s">
        <v>136</v>
      </c>
      <c r="AL17" s="198"/>
      <c r="AM17" s="199" t="s">
        <v>0</v>
      </c>
      <c r="AN17" s="199">
        <v>73415</v>
      </c>
      <c r="AO17" s="200">
        <f t="shared" ref="AO17:AO25" si="5">COUNTIF(F17:AJ17,"OFF")+COUNTIF(F17:AJ17,"X:4,OFF:4")/2 + COUNTIF(F17:AJ17,"X:4,K")/2+COUNTIF(F17:AJ17,"Ro:4,OFF:4")/2+COUNTIF(F17:AJ17,"P:4,OFF:4")/2</f>
        <v>4</v>
      </c>
      <c r="AP17" s="201"/>
      <c r="AQ17" s="202">
        <f>SUMIFS('4. Tổng hợp dữ liệu'!AP:AP,'4. Tổng hợp dữ liệu'!A:A,'5. Bảng CC'!C17)</f>
        <v>26</v>
      </c>
      <c r="AR17" s="202">
        <f>SUMIFS('4. Tổng hợp dữ liệu'!AR:AR,'4. Tổng hợp dữ liệu'!A:A,'5. Bảng CC'!C17)</f>
        <v>0</v>
      </c>
      <c r="AS17" s="202">
        <f>IF(AN17="",SUMIFS('4. Tổng hợp dữ liệu'!$AP:$AP,'4. Tổng hợp dữ liệu'!$A:$A,'5. Bảng CC'!C17),
IF(AN17&lt;&gt;"",SUMIFS('4. Tổng hợp dữ liệu'!$AP:$AP,'4. Tổng hợp dữ liệu'!$A:$A,'5. Bảng CC'!C17,'4. Tổng hợp dữ liệu'!$J:$J,"&gt;"&amp;$AN17)))</f>
        <v>0</v>
      </c>
      <c r="AT17" s="202">
        <f>IF(AN17="",0,
IF(AN17&lt;&gt;"",SUMIFS('4. Tổng hợp dữ liệu'!$AP:$AP,'4. Tổng hợp dữ liệu'!$A:$A,'5. Bảng CC'!C17,'4. Tổng hợp dữ liệu'!$J:$J,"&lt;="&amp;$AN17)))</f>
        <v>26</v>
      </c>
      <c r="AU17" s="202">
        <f>SUMIFS('4. Tổng hợp dữ liệu'!AQ:AQ,'4. Tổng hợp dữ liệu'!A:A,'5. Bảng CC'!C17)</f>
        <v>0</v>
      </c>
      <c r="AV17" s="203">
        <f t="shared" ref="AV17:AV25" si="6">IF(AK17="HC",$C$5,
IF(AK17="DV",$C$6))</f>
        <v>26</v>
      </c>
      <c r="AW17" s="203">
        <f t="shared" ref="AW17:AW25" si="7">AQ17</f>
        <v>26</v>
      </c>
      <c r="AX17" s="204">
        <f t="shared" ref="AX17:AX25" si="8">AV17-AQ17-AU17</f>
        <v>0</v>
      </c>
      <c r="AY17" s="205"/>
      <c r="AZ17" s="206">
        <v>1</v>
      </c>
      <c r="BA17" s="207">
        <f>SUMIFS('4. Tổng hợp dữ liệu'!AT:AT,'4. Tổng hợp dữ liệu'!A:A,'5. Bảng CC'!C17)</f>
        <v>2</v>
      </c>
      <c r="BB17" s="208">
        <f t="shared" ref="BB17:BB25" si="9">AZ17-BA17</f>
        <v>-1</v>
      </c>
    </row>
    <row r="18" spans="1:54" s="211" customFormat="1" ht="23.4" customHeight="1" x14ac:dyDescent="0.3">
      <c r="A18" s="194">
        <v>3</v>
      </c>
      <c r="B18" s="195" t="s">
        <v>158</v>
      </c>
      <c r="C18" s="194" t="s">
        <v>6</v>
      </c>
      <c r="D18" s="195" t="s">
        <v>15</v>
      </c>
      <c r="E18" s="195" t="s">
        <v>159</v>
      </c>
      <c r="F18" s="196" t="s">
        <v>92</v>
      </c>
      <c r="G18" s="196" t="s">
        <v>92</v>
      </c>
      <c r="H18" s="196" t="s">
        <v>93</v>
      </c>
      <c r="I18" s="196" t="s">
        <v>92</v>
      </c>
      <c r="J18" s="196" t="s">
        <v>81</v>
      </c>
      <c r="K18" s="196" t="s">
        <v>92</v>
      </c>
      <c r="L18" s="196" t="s">
        <v>92</v>
      </c>
      <c r="M18" s="196" t="s">
        <v>92</v>
      </c>
      <c r="N18" s="196" t="s">
        <v>92</v>
      </c>
      <c r="O18" s="196" t="s">
        <v>93</v>
      </c>
      <c r="P18" s="196" t="s">
        <v>92</v>
      </c>
      <c r="Q18" s="196" t="s">
        <v>92</v>
      </c>
      <c r="R18" s="196" t="s">
        <v>92</v>
      </c>
      <c r="S18" s="196" t="s">
        <v>92</v>
      </c>
      <c r="T18" s="196" t="s">
        <v>92</v>
      </c>
      <c r="U18" s="196" t="s">
        <v>92</v>
      </c>
      <c r="V18" s="196" t="s">
        <v>93</v>
      </c>
      <c r="W18" s="196" t="s">
        <v>81</v>
      </c>
      <c r="X18" s="196" t="s">
        <v>82</v>
      </c>
      <c r="Y18" s="196" t="s">
        <v>92</v>
      </c>
      <c r="Z18" s="196" t="s">
        <v>92</v>
      </c>
      <c r="AA18" s="196" t="s">
        <v>92</v>
      </c>
      <c r="AB18" s="196" t="s">
        <v>92</v>
      </c>
      <c r="AC18" s="196" t="s">
        <v>93</v>
      </c>
      <c r="AD18" s="196" t="s">
        <v>92</v>
      </c>
      <c r="AE18" s="196" t="s">
        <v>92</v>
      </c>
      <c r="AF18" s="196" t="s">
        <v>92</v>
      </c>
      <c r="AG18" s="196" t="s">
        <v>92</v>
      </c>
      <c r="AH18" s="196" t="s">
        <v>92</v>
      </c>
      <c r="AI18" s="196" t="s">
        <v>92</v>
      </c>
      <c r="AJ18" s="210"/>
      <c r="AK18" s="197" t="s">
        <v>136</v>
      </c>
      <c r="AL18" s="198"/>
      <c r="AM18" s="199" t="s">
        <v>0</v>
      </c>
      <c r="AN18" s="199">
        <v>73415</v>
      </c>
      <c r="AO18" s="200">
        <f t="shared" si="5"/>
        <v>4</v>
      </c>
      <c r="AP18" s="201"/>
      <c r="AQ18" s="202">
        <f>SUMIFS('4. Tổng hợp dữ liệu'!AP:AP,'4. Tổng hợp dữ liệu'!A:A,'5. Bảng CC'!C18)</f>
        <v>24</v>
      </c>
      <c r="AR18" s="202">
        <f>SUMIFS('4. Tổng hợp dữ liệu'!AR:AR,'4. Tổng hợp dữ liệu'!A:A,'5. Bảng CC'!C18)</f>
        <v>0</v>
      </c>
      <c r="AS18" s="202">
        <f>IF(AN18="",SUMIFS('4. Tổng hợp dữ liệu'!$AP:$AP,'4. Tổng hợp dữ liệu'!$A:$A,'5. Bảng CC'!C18),
IF(AN18&lt;&gt;"",SUMIFS('4. Tổng hợp dữ liệu'!$AP:$AP,'4. Tổng hợp dữ liệu'!$A:$A,'5. Bảng CC'!C18,'4. Tổng hợp dữ liệu'!$J:$J,"&gt;"&amp;$AN18)))</f>
        <v>0</v>
      </c>
      <c r="AT18" s="202">
        <f>IF(AN18="",0,
IF(AN18&lt;&gt;"",SUMIFS('4. Tổng hợp dữ liệu'!$AP:$AP,'4. Tổng hợp dữ liệu'!$A:$A,'5. Bảng CC'!C18,'4. Tổng hợp dữ liệu'!$J:$J,"&lt;="&amp;$AN18)))</f>
        <v>24</v>
      </c>
      <c r="AU18" s="202">
        <f>SUMIFS('4. Tổng hợp dữ liệu'!AQ:AQ,'4. Tổng hợp dữ liệu'!A:A,'5. Bảng CC'!C18)</f>
        <v>2</v>
      </c>
      <c r="AV18" s="203">
        <f t="shared" si="6"/>
        <v>26</v>
      </c>
      <c r="AW18" s="203">
        <f t="shared" si="7"/>
        <v>24</v>
      </c>
      <c r="AX18" s="204">
        <f t="shared" si="8"/>
        <v>0</v>
      </c>
      <c r="AY18" s="205"/>
      <c r="AZ18" s="206">
        <v>1</v>
      </c>
      <c r="BA18" s="207">
        <f>SUMIFS('4. Tổng hợp dữ liệu'!AT:AT,'4. Tổng hợp dữ liệu'!A:A,'5. Bảng CC'!C18)</f>
        <v>0</v>
      </c>
      <c r="BB18" s="208">
        <f t="shared" si="9"/>
        <v>1</v>
      </c>
    </row>
    <row r="19" spans="1:54" s="211" customFormat="1" ht="23.4" customHeight="1" x14ac:dyDescent="0.3">
      <c r="A19" s="194">
        <v>4</v>
      </c>
      <c r="B19" s="195" t="s">
        <v>158</v>
      </c>
      <c r="C19" s="194" t="s">
        <v>7</v>
      </c>
      <c r="D19" s="195" t="s">
        <v>16</v>
      </c>
      <c r="E19" s="195" t="s">
        <v>161</v>
      </c>
      <c r="F19" s="196" t="s">
        <v>92</v>
      </c>
      <c r="G19" s="196" t="s">
        <v>92</v>
      </c>
      <c r="H19" s="196" t="s">
        <v>93</v>
      </c>
      <c r="I19" s="196" t="s">
        <v>92</v>
      </c>
      <c r="J19" s="196" t="s">
        <v>92</v>
      </c>
      <c r="K19" s="196" t="s">
        <v>92</v>
      </c>
      <c r="L19" s="196" t="s">
        <v>92</v>
      </c>
      <c r="M19" s="196" t="s">
        <v>92</v>
      </c>
      <c r="N19" s="196" t="s">
        <v>92</v>
      </c>
      <c r="O19" s="196" t="s">
        <v>93</v>
      </c>
      <c r="P19" s="196" t="s">
        <v>92</v>
      </c>
      <c r="Q19" s="196" t="s">
        <v>92</v>
      </c>
      <c r="R19" s="196" t="s">
        <v>92</v>
      </c>
      <c r="S19" s="196" t="s">
        <v>92</v>
      </c>
      <c r="T19" s="196" t="s">
        <v>92</v>
      </c>
      <c r="U19" s="196" t="s">
        <v>92</v>
      </c>
      <c r="V19" s="196" t="s">
        <v>93</v>
      </c>
      <c r="W19" s="196" t="s">
        <v>92</v>
      </c>
      <c r="X19" s="196" t="s">
        <v>92</v>
      </c>
      <c r="Y19" s="196" t="s">
        <v>92</v>
      </c>
      <c r="Z19" s="196" t="s">
        <v>92</v>
      </c>
      <c r="AA19" s="196" t="s">
        <v>92</v>
      </c>
      <c r="AB19" s="196" t="s">
        <v>92</v>
      </c>
      <c r="AC19" s="196" t="s">
        <v>93</v>
      </c>
      <c r="AD19" s="196" t="s">
        <v>92</v>
      </c>
      <c r="AE19" s="196" t="s">
        <v>92</v>
      </c>
      <c r="AF19" s="196" t="s">
        <v>92</v>
      </c>
      <c r="AG19" s="196" t="s">
        <v>92</v>
      </c>
      <c r="AH19" s="196" t="s">
        <v>92</v>
      </c>
      <c r="AI19" s="196" t="s">
        <v>92</v>
      </c>
      <c r="AJ19" s="210"/>
      <c r="AK19" s="197" t="s">
        <v>136</v>
      </c>
      <c r="AL19" s="198"/>
      <c r="AM19" s="199" t="s">
        <v>0</v>
      </c>
      <c r="AN19" s="199">
        <v>73415</v>
      </c>
      <c r="AO19" s="200">
        <f t="shared" si="5"/>
        <v>4</v>
      </c>
      <c r="AP19" s="201"/>
      <c r="AQ19" s="202">
        <f>SUMIFS('4. Tổng hợp dữ liệu'!AP:AP,'4. Tổng hợp dữ liệu'!A:A,'5. Bảng CC'!C19)</f>
        <v>26</v>
      </c>
      <c r="AR19" s="202">
        <f>SUMIFS('4. Tổng hợp dữ liệu'!AR:AR,'4. Tổng hợp dữ liệu'!A:A,'5. Bảng CC'!C19)</f>
        <v>0</v>
      </c>
      <c r="AS19" s="202">
        <f>IF(AN19="",SUMIFS('4. Tổng hợp dữ liệu'!$AP:$AP,'4. Tổng hợp dữ liệu'!$A:$A,'5. Bảng CC'!C19),
IF(AN19&lt;&gt;"",SUMIFS('4. Tổng hợp dữ liệu'!$AP:$AP,'4. Tổng hợp dữ liệu'!$A:$A,'5. Bảng CC'!C19,'4. Tổng hợp dữ liệu'!$J:$J,"&gt;"&amp;$AN19)))</f>
        <v>0</v>
      </c>
      <c r="AT19" s="202">
        <f>IF(AN19="",0,
IF(AN19&lt;&gt;"",SUMIFS('4. Tổng hợp dữ liệu'!$AP:$AP,'4. Tổng hợp dữ liệu'!$A:$A,'5. Bảng CC'!C19,'4. Tổng hợp dữ liệu'!$J:$J,"&lt;="&amp;$AN19)))</f>
        <v>26</v>
      </c>
      <c r="AU19" s="202">
        <f>SUMIFS('4. Tổng hợp dữ liệu'!AQ:AQ,'4. Tổng hợp dữ liệu'!A:A,'5. Bảng CC'!C19)</f>
        <v>0</v>
      </c>
      <c r="AV19" s="203">
        <f t="shared" si="6"/>
        <v>26</v>
      </c>
      <c r="AW19" s="203">
        <f t="shared" si="7"/>
        <v>26</v>
      </c>
      <c r="AX19" s="204">
        <f t="shared" si="8"/>
        <v>0</v>
      </c>
      <c r="AY19" s="205"/>
      <c r="AZ19" s="206">
        <v>1</v>
      </c>
      <c r="BA19" s="207">
        <f>SUMIFS('4. Tổng hợp dữ liệu'!AT:AT,'4. Tổng hợp dữ liệu'!A:A,'5. Bảng CC'!C19)</f>
        <v>0</v>
      </c>
      <c r="BB19" s="208">
        <f t="shared" si="9"/>
        <v>1</v>
      </c>
    </row>
    <row r="20" spans="1:54" s="211" customFormat="1" ht="23.4" customHeight="1" x14ac:dyDescent="0.3">
      <c r="A20" s="194">
        <v>5</v>
      </c>
      <c r="B20" s="195" t="s">
        <v>158</v>
      </c>
      <c r="C20" s="194" t="s">
        <v>8</v>
      </c>
      <c r="D20" s="195" t="s">
        <v>17</v>
      </c>
      <c r="E20" s="195" t="s">
        <v>161</v>
      </c>
      <c r="F20" s="196" t="s">
        <v>92</v>
      </c>
      <c r="G20" s="196" t="s">
        <v>92</v>
      </c>
      <c r="H20" s="196" t="s">
        <v>93</v>
      </c>
      <c r="I20" s="196" t="s">
        <v>92</v>
      </c>
      <c r="J20" s="196" t="s">
        <v>92</v>
      </c>
      <c r="K20" s="196" t="s">
        <v>92</v>
      </c>
      <c r="L20" s="196" t="s">
        <v>92</v>
      </c>
      <c r="M20" s="196" t="s">
        <v>92</v>
      </c>
      <c r="N20" s="196" t="s">
        <v>92</v>
      </c>
      <c r="O20" s="196" t="s">
        <v>93</v>
      </c>
      <c r="P20" s="196" t="s">
        <v>92</v>
      </c>
      <c r="Q20" s="196" t="s">
        <v>92</v>
      </c>
      <c r="R20" s="196" t="s">
        <v>92</v>
      </c>
      <c r="S20" s="196" t="s">
        <v>92</v>
      </c>
      <c r="T20" s="196" t="s">
        <v>92</v>
      </c>
      <c r="U20" s="196" t="s">
        <v>92</v>
      </c>
      <c r="V20" s="196" t="s">
        <v>93</v>
      </c>
      <c r="W20" s="196" t="s">
        <v>92</v>
      </c>
      <c r="X20" s="196" t="s">
        <v>92</v>
      </c>
      <c r="Y20" s="196" t="s">
        <v>92</v>
      </c>
      <c r="Z20" s="196" t="s">
        <v>92</v>
      </c>
      <c r="AA20" s="196" t="s">
        <v>92</v>
      </c>
      <c r="AB20" s="196" t="s">
        <v>92</v>
      </c>
      <c r="AC20" s="196" t="s">
        <v>93</v>
      </c>
      <c r="AD20" s="196" t="s">
        <v>92</v>
      </c>
      <c r="AE20" s="196" t="s">
        <v>92</v>
      </c>
      <c r="AF20" s="196" t="s">
        <v>92</v>
      </c>
      <c r="AG20" s="196" t="s">
        <v>92</v>
      </c>
      <c r="AH20" s="196" t="s">
        <v>92</v>
      </c>
      <c r="AI20" s="196" t="s">
        <v>92</v>
      </c>
      <c r="AJ20" s="210"/>
      <c r="AK20" s="197" t="s">
        <v>136</v>
      </c>
      <c r="AL20" s="198"/>
      <c r="AM20" s="199">
        <v>43161</v>
      </c>
      <c r="AN20" s="199">
        <v>43785</v>
      </c>
      <c r="AO20" s="200">
        <f t="shared" si="5"/>
        <v>4</v>
      </c>
      <c r="AP20" s="201"/>
      <c r="AQ20" s="202">
        <f>SUMIFS('4. Tổng hợp dữ liệu'!AP:AP,'4. Tổng hợp dữ liệu'!A:A,'5. Bảng CC'!C20)</f>
        <v>26</v>
      </c>
      <c r="AR20" s="202">
        <f>SUMIFS('4. Tổng hợp dữ liệu'!AR:AR,'4. Tổng hợp dữ liệu'!A:A,'5. Bảng CC'!C20)</f>
        <v>0</v>
      </c>
      <c r="AS20" s="202">
        <f>IF(AN20="",SUMIFS('4. Tổng hợp dữ liệu'!$AP:$AP,'4. Tổng hợp dữ liệu'!$A:$A,'5. Bảng CC'!C20),
IF(AN20&lt;&gt;"",SUMIFS('4. Tổng hợp dữ liệu'!$AP:$AP,'4. Tổng hợp dữ liệu'!$A:$A,'5. Bảng CC'!C20,'4. Tổng hợp dữ liệu'!$J:$J,"&gt;"&amp;$AN20)))</f>
        <v>12</v>
      </c>
      <c r="AT20" s="202">
        <f>IF(AN20="",0,
IF(AN20&lt;&gt;"",SUMIFS('4. Tổng hợp dữ liệu'!$AP:$AP,'4. Tổng hợp dữ liệu'!$A:$A,'5. Bảng CC'!C20,'4. Tổng hợp dữ liệu'!$J:$J,"&lt;="&amp;$AN20)))</f>
        <v>14</v>
      </c>
      <c r="AU20" s="202">
        <f>SUMIFS('4. Tổng hợp dữ liệu'!AQ:AQ,'4. Tổng hợp dữ liệu'!A:A,'5. Bảng CC'!C20)</f>
        <v>0</v>
      </c>
      <c r="AV20" s="203">
        <f t="shared" si="6"/>
        <v>26</v>
      </c>
      <c r="AW20" s="203">
        <f t="shared" si="7"/>
        <v>26</v>
      </c>
      <c r="AX20" s="204">
        <f t="shared" si="8"/>
        <v>0</v>
      </c>
      <c r="AY20" s="205"/>
      <c r="AZ20" s="206">
        <v>1</v>
      </c>
      <c r="BA20" s="207">
        <f>SUMIFS('4. Tổng hợp dữ liệu'!AT:AT,'4. Tổng hợp dữ liệu'!A:A,'5. Bảng CC'!C20)</f>
        <v>0</v>
      </c>
      <c r="BB20" s="208">
        <f t="shared" si="9"/>
        <v>1</v>
      </c>
    </row>
    <row r="21" spans="1:54" s="211" customFormat="1" ht="23.4" customHeight="1" x14ac:dyDescent="0.3">
      <c r="A21" s="194">
        <v>6</v>
      </c>
      <c r="B21" s="195" t="s">
        <v>158</v>
      </c>
      <c r="C21" s="194" t="s">
        <v>9</v>
      </c>
      <c r="D21" s="195" t="s">
        <v>18</v>
      </c>
      <c r="E21" s="195" t="s">
        <v>30</v>
      </c>
      <c r="F21" s="196" t="s">
        <v>92</v>
      </c>
      <c r="G21" s="196" t="s">
        <v>92</v>
      </c>
      <c r="H21" s="196" t="s">
        <v>93</v>
      </c>
      <c r="I21" s="196" t="s">
        <v>92</v>
      </c>
      <c r="J21" s="196" t="s">
        <v>92</v>
      </c>
      <c r="K21" s="196" t="s">
        <v>82</v>
      </c>
      <c r="L21" s="196" t="s">
        <v>92</v>
      </c>
      <c r="M21" s="196" t="s">
        <v>92</v>
      </c>
      <c r="N21" s="196" t="s">
        <v>92</v>
      </c>
      <c r="O21" s="196" t="s">
        <v>93</v>
      </c>
      <c r="P21" s="196" t="s">
        <v>92</v>
      </c>
      <c r="Q21" s="196" t="s">
        <v>92</v>
      </c>
      <c r="R21" s="196" t="s">
        <v>92</v>
      </c>
      <c r="S21" s="196" t="s">
        <v>92</v>
      </c>
      <c r="T21" s="196" t="s">
        <v>92</v>
      </c>
      <c r="U21" s="196" t="s">
        <v>128</v>
      </c>
      <c r="V21" s="196" t="s">
        <v>93</v>
      </c>
      <c r="W21" s="196" t="s">
        <v>92</v>
      </c>
      <c r="X21" s="196" t="s">
        <v>81</v>
      </c>
      <c r="Y21" s="196" t="s">
        <v>92</v>
      </c>
      <c r="Z21" s="196" t="s">
        <v>92</v>
      </c>
      <c r="AA21" s="196" t="s">
        <v>92</v>
      </c>
      <c r="AB21" s="196" t="s">
        <v>92</v>
      </c>
      <c r="AC21" s="196" t="s">
        <v>93</v>
      </c>
      <c r="AD21" s="196" t="s">
        <v>81</v>
      </c>
      <c r="AE21" s="196" t="s">
        <v>81</v>
      </c>
      <c r="AF21" s="196" t="s">
        <v>81</v>
      </c>
      <c r="AG21" s="196" t="s">
        <v>92</v>
      </c>
      <c r="AH21" s="196" t="s">
        <v>92</v>
      </c>
      <c r="AI21" s="196" t="s">
        <v>92</v>
      </c>
      <c r="AJ21" s="210"/>
      <c r="AK21" s="197" t="s">
        <v>136</v>
      </c>
      <c r="AL21" s="198"/>
      <c r="AM21" s="199">
        <v>39143</v>
      </c>
      <c r="AN21" s="199">
        <v>73415</v>
      </c>
      <c r="AO21" s="200">
        <f t="shared" si="5"/>
        <v>4</v>
      </c>
      <c r="AP21" s="201"/>
      <c r="AQ21" s="202">
        <f>SUMIFS('4. Tổng hợp dữ liệu'!AP:AP,'4. Tổng hợp dữ liệu'!A:A,'5. Bảng CC'!C21)</f>
        <v>21.5</v>
      </c>
      <c r="AR21" s="202">
        <f>SUMIFS('4. Tổng hợp dữ liệu'!AR:AR,'4. Tổng hợp dữ liệu'!A:A,'5. Bảng CC'!C21)</f>
        <v>0</v>
      </c>
      <c r="AS21" s="202">
        <f>IF(AN21="",SUMIFS('4. Tổng hợp dữ liệu'!$AP:$AP,'4. Tổng hợp dữ liệu'!$A:$A,'5. Bảng CC'!C21),
IF(AN21&lt;&gt;"",SUMIFS('4. Tổng hợp dữ liệu'!$AP:$AP,'4. Tổng hợp dữ liệu'!$A:$A,'5. Bảng CC'!C21,'4. Tổng hợp dữ liệu'!$J:$J,"&gt;"&amp;$AN21)))</f>
        <v>0</v>
      </c>
      <c r="AT21" s="202">
        <f>IF(AN21="",0,
IF(AN21&lt;&gt;"",SUMIFS('4. Tổng hợp dữ liệu'!$AP:$AP,'4. Tổng hợp dữ liệu'!$A:$A,'5. Bảng CC'!C21,'4. Tổng hợp dữ liệu'!$J:$J,"&lt;="&amp;$AN21)))</f>
        <v>21.5</v>
      </c>
      <c r="AU21" s="202">
        <f>SUMIFS('4. Tổng hợp dữ liệu'!AQ:AQ,'4. Tổng hợp dữ liệu'!A:A,'5. Bảng CC'!C21)</f>
        <v>4.5</v>
      </c>
      <c r="AV21" s="203">
        <f t="shared" si="6"/>
        <v>26</v>
      </c>
      <c r="AW21" s="203">
        <f t="shared" si="7"/>
        <v>21.5</v>
      </c>
      <c r="AX21" s="204">
        <f t="shared" si="8"/>
        <v>0</v>
      </c>
      <c r="AY21" s="205"/>
      <c r="AZ21" s="206">
        <v>1</v>
      </c>
      <c r="BA21" s="207">
        <f>SUMIFS('4. Tổng hợp dữ liệu'!AT:AT,'4. Tổng hợp dữ liệu'!A:A,'5. Bảng CC'!C21)</f>
        <v>0</v>
      </c>
      <c r="BB21" s="208">
        <f t="shared" si="9"/>
        <v>1</v>
      </c>
    </row>
    <row r="22" spans="1:54" s="211" customFormat="1" ht="23.4" customHeight="1" x14ac:dyDescent="0.3">
      <c r="A22" s="194">
        <v>7</v>
      </c>
      <c r="B22" s="195" t="s">
        <v>158</v>
      </c>
      <c r="C22" s="194" t="s">
        <v>10</v>
      </c>
      <c r="D22" s="195" t="s">
        <v>19</v>
      </c>
      <c r="E22" s="195" t="s">
        <v>159</v>
      </c>
      <c r="F22" s="196" t="s">
        <v>92</v>
      </c>
      <c r="G22" s="196" t="s">
        <v>92</v>
      </c>
      <c r="H22" s="196" t="s">
        <v>93</v>
      </c>
      <c r="I22" s="196" t="s">
        <v>92</v>
      </c>
      <c r="J22" s="196" t="s">
        <v>92</v>
      </c>
      <c r="K22" s="196" t="s">
        <v>92</v>
      </c>
      <c r="L22" s="196" t="s">
        <v>92</v>
      </c>
      <c r="M22" s="196" t="s">
        <v>92</v>
      </c>
      <c r="N22" s="196" t="s">
        <v>92</v>
      </c>
      <c r="O22" s="196" t="s">
        <v>93</v>
      </c>
      <c r="P22" s="196" t="s">
        <v>92</v>
      </c>
      <c r="Q22" s="196" t="s">
        <v>92</v>
      </c>
      <c r="R22" s="196" t="s">
        <v>92</v>
      </c>
      <c r="S22" s="196" t="s">
        <v>92</v>
      </c>
      <c r="T22" s="196" t="s">
        <v>92</v>
      </c>
      <c r="U22" s="196" t="s">
        <v>92</v>
      </c>
      <c r="V22" s="196" t="s">
        <v>93</v>
      </c>
      <c r="W22" s="196" t="s">
        <v>92</v>
      </c>
      <c r="X22" s="196" t="s">
        <v>92</v>
      </c>
      <c r="Y22" s="196" t="s">
        <v>92</v>
      </c>
      <c r="Z22" s="196" t="s">
        <v>92</v>
      </c>
      <c r="AA22" s="196" t="s">
        <v>92</v>
      </c>
      <c r="AB22" s="196" t="s">
        <v>92</v>
      </c>
      <c r="AC22" s="196" t="s">
        <v>93</v>
      </c>
      <c r="AD22" s="196" t="s">
        <v>92</v>
      </c>
      <c r="AE22" s="196" t="s">
        <v>92</v>
      </c>
      <c r="AF22" s="196" t="s">
        <v>92</v>
      </c>
      <c r="AG22" s="196" t="s">
        <v>92</v>
      </c>
      <c r="AH22" s="196" t="s">
        <v>92</v>
      </c>
      <c r="AI22" s="196" t="s">
        <v>137</v>
      </c>
      <c r="AJ22" s="210"/>
      <c r="AK22" s="197" t="s">
        <v>136</v>
      </c>
      <c r="AL22" s="198"/>
      <c r="AM22" s="199" t="s">
        <v>0</v>
      </c>
      <c r="AN22" s="199">
        <v>73415</v>
      </c>
      <c r="AO22" s="200">
        <f t="shared" si="5"/>
        <v>4</v>
      </c>
      <c r="AP22" s="201"/>
      <c r="AQ22" s="202">
        <f>SUMIFS('4. Tổng hợp dữ liệu'!AP:AP,'4. Tổng hợp dữ liệu'!A:A,'5. Bảng CC'!C22)</f>
        <v>26</v>
      </c>
      <c r="AR22" s="202">
        <f>SUMIFS('4. Tổng hợp dữ liệu'!AR:AR,'4. Tổng hợp dữ liệu'!A:A,'5. Bảng CC'!C22)</f>
        <v>0</v>
      </c>
      <c r="AS22" s="202">
        <f>IF(AN22="",SUMIFS('4. Tổng hợp dữ liệu'!$AP:$AP,'4. Tổng hợp dữ liệu'!$A:$A,'5. Bảng CC'!C22),
IF(AN22&lt;&gt;"",SUMIFS('4. Tổng hợp dữ liệu'!$AP:$AP,'4. Tổng hợp dữ liệu'!$A:$A,'5. Bảng CC'!C22,'4. Tổng hợp dữ liệu'!$J:$J,"&gt;"&amp;$AN22)))</f>
        <v>0</v>
      </c>
      <c r="AT22" s="202">
        <f>IF(AN22="",0,
IF(AN22&lt;&gt;"",SUMIFS('4. Tổng hợp dữ liệu'!$AP:$AP,'4. Tổng hợp dữ liệu'!$A:$A,'5. Bảng CC'!C22,'4. Tổng hợp dữ liệu'!$J:$J,"&lt;="&amp;$AN22)))</f>
        <v>26</v>
      </c>
      <c r="AU22" s="202">
        <f>SUMIFS('4. Tổng hợp dữ liệu'!AQ:AQ,'4. Tổng hợp dữ liệu'!A:A,'5. Bảng CC'!C22)</f>
        <v>0</v>
      </c>
      <c r="AV22" s="203">
        <f t="shared" si="6"/>
        <v>26</v>
      </c>
      <c r="AW22" s="203">
        <f t="shared" si="7"/>
        <v>26</v>
      </c>
      <c r="AX22" s="204">
        <f t="shared" si="8"/>
        <v>0</v>
      </c>
      <c r="AY22" s="205"/>
      <c r="AZ22" s="206">
        <v>1</v>
      </c>
      <c r="BA22" s="207">
        <f>SUMIFS('4. Tổng hợp dữ liệu'!AT:AT,'4. Tổng hợp dữ liệu'!A:A,'5. Bảng CC'!C22)</f>
        <v>0.5</v>
      </c>
      <c r="BB22" s="208">
        <f t="shared" si="9"/>
        <v>0.5</v>
      </c>
    </row>
    <row r="23" spans="1:54" s="211" customFormat="1" ht="23.4" customHeight="1" x14ac:dyDescent="0.3">
      <c r="A23" s="194">
        <v>8</v>
      </c>
      <c r="B23" s="195" t="s">
        <v>158</v>
      </c>
      <c r="C23" s="194" t="s">
        <v>11</v>
      </c>
      <c r="D23" s="195" t="s">
        <v>20</v>
      </c>
      <c r="E23" s="195" t="s">
        <v>159</v>
      </c>
      <c r="F23" s="196" t="s">
        <v>92</v>
      </c>
      <c r="G23" s="196" t="s">
        <v>92</v>
      </c>
      <c r="H23" s="196" t="s">
        <v>93</v>
      </c>
      <c r="I23" s="196" t="s">
        <v>92</v>
      </c>
      <c r="J23" s="196" t="s">
        <v>92</v>
      </c>
      <c r="K23" s="196" t="s">
        <v>92</v>
      </c>
      <c r="L23" s="196" t="s">
        <v>92</v>
      </c>
      <c r="M23" s="196" t="s">
        <v>82</v>
      </c>
      <c r="N23" s="196" t="s">
        <v>92</v>
      </c>
      <c r="O23" s="196" t="s">
        <v>93</v>
      </c>
      <c r="P23" s="196" t="s">
        <v>92</v>
      </c>
      <c r="Q23" s="196" t="s">
        <v>92</v>
      </c>
      <c r="R23" s="196" t="s">
        <v>92</v>
      </c>
      <c r="S23" s="196" t="s">
        <v>92</v>
      </c>
      <c r="T23" s="196" t="s">
        <v>92</v>
      </c>
      <c r="U23" s="196" t="s">
        <v>92</v>
      </c>
      <c r="V23" s="196" t="s">
        <v>93</v>
      </c>
      <c r="W23" s="196" t="s">
        <v>92</v>
      </c>
      <c r="X23" s="196" t="s">
        <v>92</v>
      </c>
      <c r="Y23" s="196" t="s">
        <v>92</v>
      </c>
      <c r="Z23" s="196" t="s">
        <v>92</v>
      </c>
      <c r="AA23" s="196" t="s">
        <v>92</v>
      </c>
      <c r="AB23" s="196" t="s">
        <v>92</v>
      </c>
      <c r="AC23" s="196" t="s">
        <v>93</v>
      </c>
      <c r="AD23" s="196" t="s">
        <v>92</v>
      </c>
      <c r="AE23" s="196" t="s">
        <v>92</v>
      </c>
      <c r="AF23" s="196" t="s">
        <v>92</v>
      </c>
      <c r="AG23" s="196" t="s">
        <v>92</v>
      </c>
      <c r="AH23" s="196" t="s">
        <v>92</v>
      </c>
      <c r="AI23" s="196" t="s">
        <v>92</v>
      </c>
      <c r="AJ23" s="210"/>
      <c r="AK23" s="197" t="s">
        <v>136</v>
      </c>
      <c r="AL23" s="198"/>
      <c r="AM23" s="199" t="s">
        <v>0</v>
      </c>
      <c r="AN23" s="199">
        <v>73415</v>
      </c>
      <c r="AO23" s="200">
        <f t="shared" si="5"/>
        <v>4</v>
      </c>
      <c r="AP23" s="201"/>
      <c r="AQ23" s="202">
        <f>SUMIFS('4. Tổng hợp dữ liệu'!AP:AP,'4. Tổng hợp dữ liệu'!A:A,'5. Bảng CC'!C23)</f>
        <v>26</v>
      </c>
      <c r="AR23" s="202">
        <f>SUMIFS('4. Tổng hợp dữ liệu'!AR:AR,'4. Tổng hợp dữ liệu'!A:A,'5. Bảng CC'!C23)</f>
        <v>0</v>
      </c>
      <c r="AS23" s="202">
        <f>IF(AN23="",SUMIFS('4. Tổng hợp dữ liệu'!$AP:$AP,'4. Tổng hợp dữ liệu'!$A:$A,'5. Bảng CC'!C23),
IF(AN23&lt;&gt;"",SUMIFS('4. Tổng hợp dữ liệu'!$AP:$AP,'4. Tổng hợp dữ liệu'!$A:$A,'5. Bảng CC'!C23,'4. Tổng hợp dữ liệu'!$J:$J,"&gt;"&amp;$AN23)))</f>
        <v>0</v>
      </c>
      <c r="AT23" s="202">
        <f>IF(AN23="",0,
IF(AN23&lt;&gt;"",SUMIFS('4. Tổng hợp dữ liệu'!$AP:$AP,'4. Tổng hợp dữ liệu'!$A:$A,'5. Bảng CC'!C23,'4. Tổng hợp dữ liệu'!$J:$J,"&lt;="&amp;$AN23)))</f>
        <v>26</v>
      </c>
      <c r="AU23" s="202">
        <f>SUMIFS('4. Tổng hợp dữ liệu'!AQ:AQ,'4. Tổng hợp dữ liệu'!A:A,'5. Bảng CC'!C23)</f>
        <v>0</v>
      </c>
      <c r="AV23" s="203">
        <f t="shared" si="6"/>
        <v>26</v>
      </c>
      <c r="AW23" s="203">
        <f t="shared" si="7"/>
        <v>26</v>
      </c>
      <c r="AX23" s="204">
        <f t="shared" si="8"/>
        <v>0</v>
      </c>
      <c r="AY23" s="205"/>
      <c r="AZ23" s="206">
        <v>1</v>
      </c>
      <c r="BA23" s="207">
        <f>SUMIFS('4. Tổng hợp dữ liệu'!AT:AT,'4. Tổng hợp dữ liệu'!A:A,'5. Bảng CC'!C23)</f>
        <v>0</v>
      </c>
      <c r="BB23" s="208">
        <f t="shared" si="9"/>
        <v>1</v>
      </c>
    </row>
    <row r="24" spans="1:54" s="211" customFormat="1" ht="23.4" customHeight="1" x14ac:dyDescent="0.3">
      <c r="A24" s="194">
        <v>9</v>
      </c>
      <c r="B24" s="195" t="s">
        <v>158</v>
      </c>
      <c r="C24" s="194" t="s">
        <v>12</v>
      </c>
      <c r="D24" s="195" t="s">
        <v>21</v>
      </c>
      <c r="E24" s="195" t="s">
        <v>30</v>
      </c>
      <c r="F24" s="196" t="s">
        <v>92</v>
      </c>
      <c r="G24" s="196" t="s">
        <v>92</v>
      </c>
      <c r="H24" s="196" t="s">
        <v>93</v>
      </c>
      <c r="I24" s="196" t="s">
        <v>82</v>
      </c>
      <c r="J24" s="196" t="s">
        <v>92</v>
      </c>
      <c r="K24" s="196" t="s">
        <v>92</v>
      </c>
      <c r="L24" s="196" t="s">
        <v>92</v>
      </c>
      <c r="M24" s="196" t="s">
        <v>92</v>
      </c>
      <c r="N24" s="196" t="s">
        <v>92</v>
      </c>
      <c r="O24" s="196" t="s">
        <v>93</v>
      </c>
      <c r="P24" s="196" t="s">
        <v>92</v>
      </c>
      <c r="Q24" s="196" t="s">
        <v>92</v>
      </c>
      <c r="R24" s="196" t="s">
        <v>92</v>
      </c>
      <c r="S24" s="196" t="s">
        <v>92</v>
      </c>
      <c r="T24" s="196" t="s">
        <v>92</v>
      </c>
      <c r="U24" s="196" t="s">
        <v>92</v>
      </c>
      <c r="V24" s="196" t="s">
        <v>93</v>
      </c>
      <c r="W24" s="196" t="s">
        <v>92</v>
      </c>
      <c r="X24" s="196" t="s">
        <v>92</v>
      </c>
      <c r="Y24" s="196" t="s">
        <v>92</v>
      </c>
      <c r="Z24" s="196" t="s">
        <v>92</v>
      </c>
      <c r="AA24" s="196" t="s">
        <v>92</v>
      </c>
      <c r="AB24" s="196" t="s">
        <v>128</v>
      </c>
      <c r="AC24" s="196" t="s">
        <v>93</v>
      </c>
      <c r="AD24" s="196" t="s">
        <v>92</v>
      </c>
      <c r="AE24" s="196" t="s">
        <v>92</v>
      </c>
      <c r="AF24" s="196" t="s">
        <v>92</v>
      </c>
      <c r="AG24" s="196" t="s">
        <v>92</v>
      </c>
      <c r="AH24" s="196" t="s">
        <v>92</v>
      </c>
      <c r="AI24" s="196" t="s">
        <v>92</v>
      </c>
      <c r="AJ24" s="210"/>
      <c r="AK24" s="197" t="s">
        <v>136</v>
      </c>
      <c r="AL24" s="198"/>
      <c r="AM24" s="199" t="s">
        <v>0</v>
      </c>
      <c r="AN24" s="199">
        <v>73415</v>
      </c>
      <c r="AO24" s="200">
        <f t="shared" si="5"/>
        <v>4</v>
      </c>
      <c r="AP24" s="201"/>
      <c r="AQ24" s="202">
        <f>SUMIFS('4. Tổng hợp dữ liệu'!AP:AP,'4. Tổng hợp dữ liệu'!A:A,'5. Bảng CC'!C24)</f>
        <v>25.5</v>
      </c>
      <c r="AR24" s="202">
        <f>SUMIFS('4. Tổng hợp dữ liệu'!AR:AR,'4. Tổng hợp dữ liệu'!A:A,'5. Bảng CC'!C24)</f>
        <v>0</v>
      </c>
      <c r="AS24" s="202">
        <f>IF(AN24="",SUMIFS('4. Tổng hợp dữ liệu'!$AP:$AP,'4. Tổng hợp dữ liệu'!$A:$A,'5. Bảng CC'!C24),
IF(AN24&lt;&gt;"",SUMIFS('4. Tổng hợp dữ liệu'!$AP:$AP,'4. Tổng hợp dữ liệu'!$A:$A,'5. Bảng CC'!C24,'4. Tổng hợp dữ liệu'!$J:$J,"&gt;"&amp;$AN24)))</f>
        <v>0</v>
      </c>
      <c r="AT24" s="202">
        <f>IF(AN24="",0,
IF(AN24&lt;&gt;"",SUMIFS('4. Tổng hợp dữ liệu'!$AP:$AP,'4. Tổng hợp dữ liệu'!$A:$A,'5. Bảng CC'!C24,'4. Tổng hợp dữ liệu'!$J:$J,"&lt;="&amp;$AN24)))</f>
        <v>25.5</v>
      </c>
      <c r="AU24" s="202">
        <f>SUMIFS('4. Tổng hợp dữ liệu'!AQ:AQ,'4. Tổng hợp dữ liệu'!A:A,'5. Bảng CC'!C24)</f>
        <v>0.5</v>
      </c>
      <c r="AV24" s="203">
        <f t="shared" si="6"/>
        <v>26</v>
      </c>
      <c r="AW24" s="203">
        <f t="shared" si="7"/>
        <v>25.5</v>
      </c>
      <c r="AX24" s="204">
        <f t="shared" si="8"/>
        <v>0</v>
      </c>
      <c r="AY24" s="205"/>
      <c r="AZ24" s="206">
        <v>1</v>
      </c>
      <c r="BA24" s="207">
        <f>SUMIFS('4. Tổng hợp dữ liệu'!AT:AT,'4. Tổng hợp dữ liệu'!A:A,'5. Bảng CC'!C24)</f>
        <v>0</v>
      </c>
      <c r="BB24" s="208">
        <f t="shared" si="9"/>
        <v>1</v>
      </c>
    </row>
    <row r="25" spans="1:54" s="211" customFormat="1" ht="23.4" customHeight="1" x14ac:dyDescent="0.3">
      <c r="A25" s="194">
        <v>10</v>
      </c>
      <c r="B25" s="195" t="s">
        <v>158</v>
      </c>
      <c r="C25" s="194" t="s">
        <v>13</v>
      </c>
      <c r="D25" s="195" t="s">
        <v>22</v>
      </c>
      <c r="E25" s="195" t="s">
        <v>159</v>
      </c>
      <c r="F25" s="196" t="s">
        <v>92</v>
      </c>
      <c r="G25" s="196" t="s">
        <v>92</v>
      </c>
      <c r="H25" s="196" t="s">
        <v>93</v>
      </c>
      <c r="I25" s="196" t="s">
        <v>92</v>
      </c>
      <c r="J25" s="196" t="s">
        <v>92</v>
      </c>
      <c r="K25" s="196" t="s">
        <v>92</v>
      </c>
      <c r="L25" s="196" t="s">
        <v>92</v>
      </c>
      <c r="M25" s="196" t="s">
        <v>92</v>
      </c>
      <c r="N25" s="196" t="s">
        <v>92</v>
      </c>
      <c r="O25" s="196" t="s">
        <v>93</v>
      </c>
      <c r="P25" s="196" t="s">
        <v>92</v>
      </c>
      <c r="Q25" s="196" t="s">
        <v>92</v>
      </c>
      <c r="R25" s="196" t="s">
        <v>92</v>
      </c>
      <c r="S25" s="196" t="s">
        <v>92</v>
      </c>
      <c r="T25" s="196" t="s">
        <v>92</v>
      </c>
      <c r="U25" s="196" t="s">
        <v>92</v>
      </c>
      <c r="V25" s="196" t="s">
        <v>93</v>
      </c>
      <c r="W25" s="196" t="s">
        <v>92</v>
      </c>
      <c r="X25" s="196" t="s">
        <v>92</v>
      </c>
      <c r="Y25" s="196" t="s">
        <v>92</v>
      </c>
      <c r="Z25" s="196" t="s">
        <v>92</v>
      </c>
      <c r="AA25" s="196" t="s">
        <v>92</v>
      </c>
      <c r="AB25" s="196" t="s">
        <v>92</v>
      </c>
      <c r="AC25" s="196" t="s">
        <v>93</v>
      </c>
      <c r="AD25" s="196" t="s">
        <v>92</v>
      </c>
      <c r="AE25" s="196" t="s">
        <v>92</v>
      </c>
      <c r="AF25" s="196" t="s">
        <v>92</v>
      </c>
      <c r="AG25" s="196" t="s">
        <v>92</v>
      </c>
      <c r="AH25" s="196" t="s">
        <v>92</v>
      </c>
      <c r="AI25" s="196" t="s">
        <v>92</v>
      </c>
      <c r="AJ25" s="210"/>
      <c r="AK25" s="197" t="s">
        <v>136</v>
      </c>
      <c r="AL25" s="198"/>
      <c r="AM25" s="199" t="s">
        <v>0</v>
      </c>
      <c r="AN25" s="199">
        <v>73415</v>
      </c>
      <c r="AO25" s="200">
        <f t="shared" si="5"/>
        <v>4</v>
      </c>
      <c r="AP25" s="201"/>
      <c r="AQ25" s="202">
        <f>SUMIFS('4. Tổng hợp dữ liệu'!AP:AP,'4. Tổng hợp dữ liệu'!A:A,'5. Bảng CC'!C25)</f>
        <v>26</v>
      </c>
      <c r="AR25" s="202">
        <f>SUMIFS('4. Tổng hợp dữ liệu'!AR:AR,'4. Tổng hợp dữ liệu'!A:A,'5. Bảng CC'!C25)</f>
        <v>0</v>
      </c>
      <c r="AS25" s="202">
        <f>IF(AN25="",SUMIFS('4. Tổng hợp dữ liệu'!$AP:$AP,'4. Tổng hợp dữ liệu'!$A:$A,'5. Bảng CC'!C25),
IF(AN25&lt;&gt;"",SUMIFS('4. Tổng hợp dữ liệu'!$AP:$AP,'4. Tổng hợp dữ liệu'!$A:$A,'5. Bảng CC'!C25,'4. Tổng hợp dữ liệu'!$J:$J,"&gt;"&amp;$AN25)))</f>
        <v>0</v>
      </c>
      <c r="AT25" s="202">
        <f>IF(AN25="",0,
IF(AN25&lt;&gt;"",SUMIFS('4. Tổng hợp dữ liệu'!$AP:$AP,'4. Tổng hợp dữ liệu'!$A:$A,'5. Bảng CC'!C25,'4. Tổng hợp dữ liệu'!$J:$J,"&lt;="&amp;$AN25)))</f>
        <v>26</v>
      </c>
      <c r="AU25" s="202">
        <f>SUMIFS('4. Tổng hợp dữ liệu'!AQ:AQ,'4. Tổng hợp dữ liệu'!A:A,'5. Bảng CC'!C25)</f>
        <v>0</v>
      </c>
      <c r="AV25" s="203">
        <f t="shared" si="6"/>
        <v>26</v>
      </c>
      <c r="AW25" s="203">
        <f t="shared" si="7"/>
        <v>26</v>
      </c>
      <c r="AX25" s="204">
        <f t="shared" si="8"/>
        <v>0</v>
      </c>
      <c r="AY25" s="205"/>
      <c r="AZ25" s="206">
        <v>0</v>
      </c>
      <c r="BA25" s="207">
        <f>SUMIFS('4. Tổng hợp dữ liệu'!AT:AT,'4. Tổng hợp dữ liệu'!A:A,'5. Bảng CC'!C25)</f>
        <v>0</v>
      </c>
      <c r="BB25" s="208">
        <f t="shared" si="9"/>
        <v>0</v>
      </c>
    </row>
    <row r="26" spans="1:54" s="211" customFormat="1" ht="13.2" x14ac:dyDescent="0.3">
      <c r="A26" s="194"/>
      <c r="B26" s="195"/>
      <c r="C26" s="194"/>
      <c r="D26" s="195"/>
      <c r="E26" s="195"/>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210"/>
      <c r="AK26" s="197"/>
      <c r="AL26" s="198"/>
      <c r="AM26" s="199" t="s">
        <v>0</v>
      </c>
      <c r="AN26" s="199" t="s">
        <v>0</v>
      </c>
      <c r="AO26" s="200"/>
      <c r="AP26" s="201"/>
      <c r="AQ26" s="212"/>
      <c r="AR26" s="212"/>
      <c r="AS26" s="212"/>
      <c r="AT26" s="212"/>
      <c r="AU26" s="212"/>
      <c r="AV26" s="213"/>
      <c r="AW26" s="214"/>
      <c r="AX26" s="204"/>
      <c r="AY26" s="205"/>
      <c r="AZ26" s="206"/>
      <c r="BA26" s="207"/>
      <c r="BB26" s="208"/>
    </row>
  </sheetData>
  <mergeCells count="14">
    <mergeCell ref="A14:A15"/>
    <mergeCell ref="B14:B15"/>
    <mergeCell ref="C14:C15"/>
    <mergeCell ref="D14:D15"/>
    <mergeCell ref="E14:E15"/>
    <mergeCell ref="AZ14:BB14"/>
    <mergeCell ref="AQ14:AX14"/>
    <mergeCell ref="E3:E10"/>
    <mergeCell ref="AK14:AK15"/>
    <mergeCell ref="AL14:AL15"/>
    <mergeCell ref="AP14:AP15"/>
    <mergeCell ref="AM14:AM15"/>
    <mergeCell ref="AN14:AN15"/>
    <mergeCell ref="AO14:AO15"/>
  </mergeCells>
  <conditionalFormatting sqref="AL14 F14:AJ26">
    <cfRule type="expression" dxfId="11" priority="141" stopIfTrue="1">
      <formula>F$14="T7"</formula>
    </cfRule>
    <cfRule type="expression" dxfId="10" priority="142" stopIfTrue="1">
      <formula>F$14="CN"</formula>
    </cfRule>
  </conditionalFormatting>
  <conditionalFormatting sqref="AC16:AC26">
    <cfRule type="expression" dxfId="9" priority="23" stopIfTrue="1">
      <formula>AC$14="T7"</formula>
    </cfRule>
    <cfRule type="expression" dxfId="8" priority="24" stopIfTrue="1">
      <formula>AC$14="CN"</formula>
    </cfRule>
  </conditionalFormatting>
  <conditionalFormatting sqref="AM14">
    <cfRule type="expression" dxfId="7" priority="7" stopIfTrue="1">
      <formula>AM$18="T7"</formula>
    </cfRule>
    <cfRule type="expression" dxfId="6" priority="8" stopIfTrue="1">
      <formula>AM$18="CN"</formula>
    </cfRule>
  </conditionalFormatting>
  <conditionalFormatting sqref="AN14">
    <cfRule type="expression" dxfId="5" priority="5" stopIfTrue="1">
      <formula>AN$18="T7"</formula>
    </cfRule>
    <cfRule type="expression" dxfId="4" priority="6" stopIfTrue="1">
      <formula>AN$18="CN"</formula>
    </cfRule>
  </conditionalFormatting>
  <conditionalFormatting sqref="AO14">
    <cfRule type="expression" dxfId="3" priority="3" stopIfTrue="1">
      <formula>AO$18="T7"</formula>
    </cfRule>
    <cfRule type="expression" dxfId="2" priority="4" stopIfTrue="1">
      <formula>AO$18="CN"</formula>
    </cfRule>
  </conditionalFormatting>
  <conditionalFormatting sqref="AK14">
    <cfRule type="expression" dxfId="1" priority="1" stopIfTrue="1">
      <formula>AK$18="T7"</formula>
    </cfRule>
    <cfRule type="expression" dxfId="0" priority="2" stopIfTrue="1">
      <formula>AK$18="CN"</formula>
    </cfRule>
  </conditionalFormatting>
  <dataValidations count="3">
    <dataValidation type="list" allowBlank="1" showInputMessage="1" showErrorMessage="1" sqref="AK26" xr:uid="{022332B3-BFEF-4A29-9C6C-F802BCAE00A4}">
      <formula1>$B$5:$B$6</formula1>
    </dataValidation>
    <dataValidation type="list" allowBlank="1" showErrorMessage="1" errorTitle="Cảnh báo" error="Không tồn tại ký hiệu chấm công. Nếu dùng ký hiệu này, nhân viên sẽ không được chấm công. " promptTitle="try" prompt="ytetye" sqref="AK16:AK26" xr:uid="{9B4535AD-B989-457B-95FA-A1C7E1BAE94E}">
      <formula1>"HC,DV"</formula1>
    </dataValidation>
    <dataValidation type="list" allowBlank="1" showInputMessage="1" showErrorMessage="1" sqref="AK16:AK25" xr:uid="{E011D236-1C6E-40F7-9EAA-12C5353A78B2}">
      <formula1>"HC,DV"</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Cảnh báo" error="Không tồn tại ký hiệu chấm công. Nếu dùng ký hiệu này, nhân viên sẽ không được chấm công. " promptTitle="try" prompt="ytetye" xr:uid="{A8B0BCFA-7FBA-4E81-9455-32BB98A56EA5}">
          <x14:formula1>
            <xm:f>'D:\A-ANLE.HR\1. CONG VIEC\PHARVINA\DU LIEU CHUNG\Nhan su TM\Cham cong TM\Thang 11.2019\[TM- Bang cham cong T11.2019.xlsx]Manual'!#REF!</xm:f>
          </x14:formula1>
          <xm:sqref>AJ17:AJ26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B308"/>
  <sheetViews>
    <sheetView zoomScale="85" zoomScaleNormal="85" workbookViewId="0">
      <selection activeCell="L1" sqref="J1:L1048576"/>
    </sheetView>
  </sheetViews>
  <sheetFormatPr defaultColWidth="8.77734375" defaultRowHeight="13.8" x14ac:dyDescent="0.25"/>
  <cols>
    <col min="1" max="1" width="8.77734375" style="5"/>
    <col min="2" max="2" width="20.21875" style="9" customWidth="1"/>
    <col min="3" max="3" width="17.88671875" style="15" customWidth="1"/>
    <col min="4" max="4" width="12.44140625" style="15" customWidth="1"/>
    <col min="5" max="6" width="14.77734375" style="15" customWidth="1"/>
    <col min="7" max="7" width="9.21875" style="15" customWidth="1"/>
    <col min="8" max="8" width="8.109375" style="15" customWidth="1"/>
    <col min="9" max="9" width="11.44140625" style="15" customWidth="1"/>
    <col min="10" max="10" width="12.77734375" style="5" customWidth="1"/>
    <col min="11" max="11" width="18.88671875" style="5" hidden="1" customWidth="1"/>
    <col min="12" max="12" width="14.88671875" style="5" customWidth="1"/>
    <col min="13" max="13" width="17.77734375" style="5" hidden="1" customWidth="1"/>
    <col min="14" max="14" width="15.21875" style="5" customWidth="1"/>
    <col min="15" max="15" width="19.77734375" style="5" hidden="1" customWidth="1"/>
    <col min="16" max="16" width="15.77734375" style="5" customWidth="1"/>
    <col min="17" max="17" width="18.77734375" style="5" hidden="1" customWidth="1"/>
    <col min="18" max="18" width="15.77734375" style="5" customWidth="1"/>
    <col min="19" max="19" width="14.33203125" style="5" customWidth="1"/>
    <col min="20" max="23" width="12.44140625" style="5" customWidth="1"/>
    <col min="24" max="24" width="12.5546875" style="5" customWidth="1"/>
    <col min="25" max="25" width="17.44140625" style="5" customWidth="1"/>
    <col min="26" max="26" width="12.77734375" style="5" customWidth="1"/>
    <col min="27" max="27" width="18.77734375" style="5" customWidth="1"/>
    <col min="28" max="28" width="19" style="22" customWidth="1"/>
    <col min="29" max="29" width="23.44140625" style="5" customWidth="1"/>
    <col min="30" max="30" width="12.5546875" style="5" customWidth="1"/>
    <col min="31" max="31" width="18.33203125" style="5" customWidth="1"/>
    <col min="32" max="33" width="12.5546875" style="5" customWidth="1"/>
    <col min="34" max="34" width="10.77734375" style="8" bestFit="1" customWidth="1"/>
    <col min="35" max="35" width="20.77734375" style="5" customWidth="1"/>
    <col min="36" max="36" width="17.77734375" style="5" customWidth="1"/>
    <col min="37" max="37" width="15" style="5" customWidth="1"/>
    <col min="38" max="40" width="12.77734375" style="5" customWidth="1"/>
    <col min="41" max="41" width="21.109375" style="101" customWidth="1"/>
    <col min="42" max="47" width="12.77734375" style="5" customWidth="1"/>
    <col min="48" max="48" width="12.5546875" style="5" bestFit="1" customWidth="1"/>
    <col min="49" max="49" width="12.5546875" style="5" customWidth="1"/>
    <col min="50" max="50" width="13.5546875" style="5" bestFit="1" customWidth="1"/>
    <col min="51" max="51" width="13.5546875" style="5" customWidth="1"/>
    <col min="52" max="52" width="30.5546875" style="5" customWidth="1"/>
    <col min="53" max="53" width="15.21875" style="5" customWidth="1"/>
    <col min="54" max="54" width="12.77734375" style="5" customWidth="1"/>
    <col min="55" max="16384" width="8.77734375" style="5"/>
  </cols>
  <sheetData>
    <row r="1" spans="1:54" s="84" customFormat="1" ht="20.399999999999999" x14ac:dyDescent="0.25">
      <c r="A1" s="99" t="s">
        <v>178</v>
      </c>
      <c r="B1" s="87"/>
      <c r="C1" s="88"/>
      <c r="D1" s="88"/>
      <c r="E1" s="88"/>
      <c r="F1" s="88"/>
      <c r="G1" s="88"/>
      <c r="H1" s="88"/>
      <c r="I1" s="88"/>
      <c r="AK1" s="97"/>
      <c r="AL1" s="98"/>
      <c r="AM1" s="98"/>
      <c r="AN1" s="98"/>
      <c r="AO1" s="96"/>
      <c r="AP1" s="98"/>
      <c r="AQ1" s="98"/>
      <c r="AR1" s="98"/>
      <c r="AS1" s="98"/>
    </row>
    <row r="2" spans="1:54" s="84" customFormat="1" ht="13.2" x14ac:dyDescent="0.25">
      <c r="A2" s="86"/>
      <c r="B2" s="87"/>
      <c r="C2" s="88"/>
      <c r="D2" s="88"/>
      <c r="E2" s="88"/>
      <c r="F2" s="88"/>
      <c r="G2" s="88"/>
      <c r="H2" s="88"/>
      <c r="I2" s="88"/>
      <c r="AK2" s="97"/>
      <c r="AL2" s="98"/>
      <c r="AM2" s="98"/>
      <c r="AN2" s="98"/>
      <c r="AO2" s="96"/>
      <c r="AP2" s="98"/>
      <c r="AQ2" s="98"/>
      <c r="AR2" s="98"/>
      <c r="AS2" s="98"/>
    </row>
    <row r="3" spans="1:54" s="62" customFormat="1" ht="13.2" x14ac:dyDescent="0.3">
      <c r="A3" s="144" t="s">
        <v>91</v>
      </c>
      <c r="B3" s="144" t="s">
        <v>91</v>
      </c>
      <c r="C3" s="144" t="s">
        <v>91</v>
      </c>
      <c r="D3" s="144" t="s">
        <v>91</v>
      </c>
      <c r="E3" s="144" t="s">
        <v>91</v>
      </c>
      <c r="F3" s="144" t="s">
        <v>91</v>
      </c>
      <c r="G3" s="144" t="s">
        <v>91</v>
      </c>
      <c r="H3" s="145" t="s">
        <v>173</v>
      </c>
      <c r="I3" s="144" t="s">
        <v>91</v>
      </c>
      <c r="J3" s="144" t="s">
        <v>91</v>
      </c>
      <c r="K3" s="145" t="s">
        <v>173</v>
      </c>
      <c r="L3" s="145" t="s">
        <v>173</v>
      </c>
      <c r="M3" s="145" t="s">
        <v>173</v>
      </c>
      <c r="N3" s="145" t="s">
        <v>173</v>
      </c>
      <c r="O3" s="145" t="s">
        <v>173</v>
      </c>
      <c r="P3" s="145" t="s">
        <v>173</v>
      </c>
      <c r="Q3" s="145" t="s">
        <v>173</v>
      </c>
      <c r="R3" s="145" t="s">
        <v>173</v>
      </c>
      <c r="S3" s="145" t="s">
        <v>173</v>
      </c>
      <c r="T3" s="144" t="s">
        <v>91</v>
      </c>
      <c r="U3" s="144" t="s">
        <v>91</v>
      </c>
      <c r="V3" s="144" t="s">
        <v>91</v>
      </c>
      <c r="W3" s="144" t="s">
        <v>91</v>
      </c>
      <c r="X3" s="145" t="s">
        <v>173</v>
      </c>
      <c r="Y3" s="145" t="s">
        <v>173</v>
      </c>
      <c r="Z3" s="145" t="s">
        <v>173</v>
      </c>
      <c r="AA3" s="145" t="s">
        <v>173</v>
      </c>
      <c r="AB3" s="145" t="s">
        <v>173</v>
      </c>
      <c r="AC3" s="145" t="s">
        <v>173</v>
      </c>
      <c r="AD3" s="145" t="s">
        <v>173</v>
      </c>
      <c r="AE3" s="145" t="s">
        <v>173</v>
      </c>
      <c r="AF3" s="145" t="s">
        <v>173</v>
      </c>
      <c r="AG3" s="145" t="s">
        <v>173</v>
      </c>
      <c r="AH3" s="145" t="s">
        <v>173</v>
      </c>
      <c r="AI3" s="145" t="s">
        <v>173</v>
      </c>
      <c r="AJ3" s="145" t="s">
        <v>173</v>
      </c>
      <c r="AK3" s="145" t="s">
        <v>173</v>
      </c>
      <c r="AL3" s="145" t="s">
        <v>173</v>
      </c>
      <c r="AM3" s="145" t="s">
        <v>173</v>
      </c>
      <c r="AN3" s="61" t="s">
        <v>91</v>
      </c>
      <c r="AO3" s="61" t="s">
        <v>91</v>
      </c>
      <c r="AP3" s="145" t="s">
        <v>173</v>
      </c>
      <c r="AQ3" s="145" t="s">
        <v>173</v>
      </c>
      <c r="AR3" s="145" t="s">
        <v>173</v>
      </c>
      <c r="AS3" s="145" t="s">
        <v>173</v>
      </c>
      <c r="AT3" s="145" t="s">
        <v>173</v>
      </c>
      <c r="AU3" s="145" t="s">
        <v>173</v>
      </c>
      <c r="AV3" s="145" t="s">
        <v>173</v>
      </c>
      <c r="AW3" s="145" t="s">
        <v>173</v>
      </c>
      <c r="AX3" s="145" t="s">
        <v>173</v>
      </c>
      <c r="AY3" s="145" t="s">
        <v>173</v>
      </c>
      <c r="AZ3" s="61" t="s">
        <v>91</v>
      </c>
      <c r="BA3" s="145" t="s">
        <v>173</v>
      </c>
      <c r="BB3" s="61" t="s">
        <v>91</v>
      </c>
    </row>
    <row r="4" spans="1:54" s="50" customFormat="1" ht="14.1" customHeight="1" x14ac:dyDescent="0.25">
      <c r="B4" s="63"/>
      <c r="C4" s="64"/>
      <c r="D4" s="64"/>
      <c r="E4" s="64"/>
      <c r="F4" s="64"/>
      <c r="G4" s="64"/>
      <c r="H4" s="64"/>
      <c r="I4" s="64"/>
      <c r="J4" s="65"/>
      <c r="K4" s="65"/>
      <c r="L4" s="65"/>
      <c r="M4" s="65"/>
      <c r="N4" s="65"/>
      <c r="O4" s="65"/>
      <c r="P4" s="65"/>
      <c r="Q4" s="65"/>
      <c r="R4" s="65"/>
      <c r="S4" s="65"/>
      <c r="U4" s="66"/>
      <c r="V4" s="66"/>
      <c r="W4" s="66"/>
      <c r="X4" s="67">
        <f t="shared" ref="X4:AG4" si="0">SUBTOTAL(9,X7:X306)</f>
        <v>1500</v>
      </c>
      <c r="Y4" s="67">
        <f t="shared" si="0"/>
        <v>760</v>
      </c>
      <c r="Z4" s="67">
        <f t="shared" si="0"/>
        <v>1150.4666666666672</v>
      </c>
      <c r="AA4" s="67">
        <f t="shared" si="0"/>
        <v>65.683333333333323</v>
      </c>
      <c r="AB4" s="67">
        <f t="shared" si="0"/>
        <v>1084.783333333334</v>
      </c>
      <c r="AC4" s="68">
        <f>SUBTOTAL(9,AC7:AC306)</f>
        <v>264.43333333333334</v>
      </c>
      <c r="AD4" s="67">
        <f>SUBTOTAL(9,AD7:AD306)</f>
        <v>528866.66666666663</v>
      </c>
      <c r="AE4" s="68">
        <f t="shared" si="0"/>
        <v>0.1368402777777778</v>
      </c>
      <c r="AF4" s="67">
        <f>SUBTOTAL(9,AF7:AF306)</f>
        <v>26019.364316239313</v>
      </c>
      <c r="AG4" s="67">
        <f t="shared" si="0"/>
        <v>554886.030982906</v>
      </c>
      <c r="AH4" s="69"/>
      <c r="AK4" s="65"/>
      <c r="AL4" s="65"/>
      <c r="AM4" s="65"/>
      <c r="AO4" s="65"/>
      <c r="AP4" s="67">
        <f>SUBTOTAL(9,AP7:AP306)</f>
        <v>248</v>
      </c>
      <c r="AQ4" s="67">
        <f>SUBTOTAL(9,AQ7:AQ306)</f>
        <v>12</v>
      </c>
      <c r="AR4" s="67">
        <f>SUBTOTAL(9,AR7:AR306)</f>
        <v>0</v>
      </c>
      <c r="AS4" s="67">
        <f>SUBTOTAL(9,AS7:AS306)</f>
        <v>248</v>
      </c>
      <c r="AT4" s="67">
        <f>SUBTOTAL(9,AT7:AT306)</f>
        <v>2.5</v>
      </c>
    </row>
    <row r="5" spans="1:54" s="83" customFormat="1" ht="49.8" customHeight="1" x14ac:dyDescent="0.3">
      <c r="A5" s="70" t="s">
        <v>1</v>
      </c>
      <c r="B5" s="70" t="s">
        <v>2</v>
      </c>
      <c r="C5" s="71" t="s">
        <v>97</v>
      </c>
      <c r="D5" s="71" t="s">
        <v>218</v>
      </c>
      <c r="E5" s="71" t="s">
        <v>166</v>
      </c>
      <c r="F5" s="71" t="s">
        <v>243</v>
      </c>
      <c r="G5" s="71" t="s">
        <v>98</v>
      </c>
      <c r="H5" s="71" t="s">
        <v>116</v>
      </c>
      <c r="I5" s="71" t="s">
        <v>117</v>
      </c>
      <c r="J5" s="70" t="s">
        <v>3</v>
      </c>
      <c r="K5" s="72" t="s">
        <v>184</v>
      </c>
      <c r="L5" s="72" t="s">
        <v>101</v>
      </c>
      <c r="M5" s="72" t="s">
        <v>185</v>
      </c>
      <c r="N5" s="72" t="s">
        <v>180</v>
      </c>
      <c r="O5" s="72" t="s">
        <v>186</v>
      </c>
      <c r="P5" s="72" t="s">
        <v>181</v>
      </c>
      <c r="Q5" s="72" t="s">
        <v>187</v>
      </c>
      <c r="R5" s="72" t="s">
        <v>182</v>
      </c>
      <c r="S5" s="72" t="s">
        <v>109</v>
      </c>
      <c r="T5" s="73" t="s">
        <v>104</v>
      </c>
      <c r="U5" s="73" t="s">
        <v>105</v>
      </c>
      <c r="V5" s="73" t="s">
        <v>106</v>
      </c>
      <c r="W5" s="73" t="s">
        <v>107</v>
      </c>
      <c r="X5" s="74" t="s">
        <v>210</v>
      </c>
      <c r="Y5" s="74" t="s">
        <v>305</v>
      </c>
      <c r="Z5" s="85" t="s">
        <v>99</v>
      </c>
      <c r="AA5" s="75" t="s">
        <v>188</v>
      </c>
      <c r="AB5" s="76" t="s">
        <v>306</v>
      </c>
      <c r="AC5" s="76" t="s">
        <v>307</v>
      </c>
      <c r="AD5" s="77" t="s">
        <v>94</v>
      </c>
      <c r="AE5" s="75" t="s">
        <v>189</v>
      </c>
      <c r="AF5" s="78" t="s">
        <v>95</v>
      </c>
      <c r="AG5" s="85" t="s">
        <v>96</v>
      </c>
      <c r="AH5" s="79" t="s">
        <v>197</v>
      </c>
      <c r="AI5" s="80" t="s">
        <v>216</v>
      </c>
      <c r="AJ5" s="80" t="s">
        <v>196</v>
      </c>
      <c r="AK5" s="80" t="s">
        <v>244</v>
      </c>
      <c r="AL5" s="80" t="s">
        <v>217</v>
      </c>
      <c r="AM5" s="80" t="s">
        <v>48</v>
      </c>
      <c r="AN5" s="80" t="s">
        <v>238</v>
      </c>
      <c r="AO5" s="80" t="s">
        <v>239</v>
      </c>
      <c r="AP5" s="81" t="s">
        <v>168</v>
      </c>
      <c r="AQ5" s="81" t="s">
        <v>169</v>
      </c>
      <c r="AR5" s="81" t="s">
        <v>167</v>
      </c>
      <c r="AS5" s="81" t="s">
        <v>223</v>
      </c>
      <c r="AT5" s="81" t="s">
        <v>170</v>
      </c>
      <c r="AU5" s="82" t="s">
        <v>108</v>
      </c>
      <c r="AV5" s="82" t="s">
        <v>234</v>
      </c>
      <c r="AW5" s="82" t="s">
        <v>235</v>
      </c>
      <c r="AX5" s="82" t="s">
        <v>236</v>
      </c>
      <c r="AY5" s="82" t="s">
        <v>237</v>
      </c>
      <c r="AZ5" s="82" t="s">
        <v>233</v>
      </c>
      <c r="BA5" s="82" t="s">
        <v>231</v>
      </c>
      <c r="BB5" s="82" t="s">
        <v>171</v>
      </c>
    </row>
    <row r="6" spans="1:54" s="95" customFormat="1" ht="66" x14ac:dyDescent="0.3">
      <c r="A6" s="89" t="s">
        <v>32</v>
      </c>
      <c r="B6" s="89" t="s">
        <v>2</v>
      </c>
      <c r="C6" s="90" t="s">
        <v>198</v>
      </c>
      <c r="D6" s="90" t="s">
        <v>218</v>
      </c>
      <c r="E6" s="90" t="s">
        <v>166</v>
      </c>
      <c r="F6" s="90" t="s">
        <v>243</v>
      </c>
      <c r="G6" s="90" t="s">
        <v>98</v>
      </c>
      <c r="H6" s="90" t="s">
        <v>200</v>
      </c>
      <c r="I6" s="90" t="s">
        <v>247</v>
      </c>
      <c r="J6" s="89" t="s">
        <v>199</v>
      </c>
      <c r="K6" s="89"/>
      <c r="L6" s="89" t="s">
        <v>201</v>
      </c>
      <c r="M6" s="89"/>
      <c r="N6" s="89" t="s">
        <v>202</v>
      </c>
      <c r="O6" s="89"/>
      <c r="P6" s="89" t="s">
        <v>203</v>
      </c>
      <c r="Q6" s="89"/>
      <c r="R6" s="89" t="s">
        <v>204</v>
      </c>
      <c r="S6" s="89" t="s">
        <v>205</v>
      </c>
      <c r="T6" s="89" t="s">
        <v>206</v>
      </c>
      <c r="U6" s="89" t="s">
        <v>207</v>
      </c>
      <c r="V6" s="89" t="s">
        <v>208</v>
      </c>
      <c r="W6" s="89" t="s">
        <v>209</v>
      </c>
      <c r="X6" s="89" t="s">
        <v>211</v>
      </c>
      <c r="Y6" s="89" t="s">
        <v>305</v>
      </c>
      <c r="Z6" s="89" t="s">
        <v>327</v>
      </c>
      <c r="AA6" s="91" t="s">
        <v>188</v>
      </c>
      <c r="AB6" s="92" t="s">
        <v>306</v>
      </c>
      <c r="AC6" s="92" t="s">
        <v>307</v>
      </c>
      <c r="AD6" s="93" t="s">
        <v>213</v>
      </c>
      <c r="AE6" s="91" t="s">
        <v>189</v>
      </c>
      <c r="AF6" s="93" t="s">
        <v>212</v>
      </c>
      <c r="AG6" s="89" t="s">
        <v>96</v>
      </c>
      <c r="AH6" s="94" t="s">
        <v>197</v>
      </c>
      <c r="AI6" s="89" t="s">
        <v>214</v>
      </c>
      <c r="AJ6" s="89" t="s">
        <v>215</v>
      </c>
      <c r="AK6" s="89" t="s">
        <v>245</v>
      </c>
      <c r="AL6" s="89" t="s">
        <v>219</v>
      </c>
      <c r="AM6" s="89" t="s">
        <v>48</v>
      </c>
      <c r="AN6" s="89" t="s">
        <v>240</v>
      </c>
      <c r="AO6" s="89" t="s">
        <v>241</v>
      </c>
      <c r="AP6" s="89" t="s">
        <v>220</v>
      </c>
      <c r="AQ6" s="89" t="s">
        <v>221</v>
      </c>
      <c r="AR6" s="89" t="s">
        <v>222</v>
      </c>
      <c r="AS6" s="89" t="s">
        <v>224</v>
      </c>
      <c r="AT6" s="89" t="s">
        <v>225</v>
      </c>
      <c r="AU6" s="89" t="s">
        <v>226</v>
      </c>
      <c r="AV6" s="89" t="s">
        <v>227</v>
      </c>
      <c r="AW6" s="89" t="s">
        <v>227</v>
      </c>
      <c r="AX6" s="89" t="s">
        <v>228</v>
      </c>
      <c r="AY6" s="89" t="s">
        <v>228</v>
      </c>
      <c r="AZ6" s="100" t="s">
        <v>308</v>
      </c>
      <c r="BA6" s="100" t="s">
        <v>232</v>
      </c>
      <c r="BB6" s="89" t="s">
        <v>229</v>
      </c>
    </row>
    <row r="7" spans="1:54" s="83" customFormat="1" ht="13.2" x14ac:dyDescent="0.3">
      <c r="A7" s="103" t="s">
        <v>4</v>
      </c>
      <c r="B7" s="104" t="s">
        <v>14</v>
      </c>
      <c r="C7" s="105">
        <v>4700000</v>
      </c>
      <c r="D7" s="106">
        <v>43388</v>
      </c>
      <c r="E7" s="107">
        <v>43525</v>
      </c>
      <c r="F7" s="107">
        <v>73415</v>
      </c>
      <c r="G7" s="105">
        <v>26</v>
      </c>
      <c r="H7" s="105">
        <f>WEEKDAY(J7,1)</f>
        <v>6</v>
      </c>
      <c r="I7" s="105"/>
      <c r="J7" s="108">
        <v>43770</v>
      </c>
      <c r="K7" s="108" t="str">
        <f t="shared" ref="K7:K16" si="1">$A7&amp;$J7&amp;"Vào"&amp;"Sáng"</f>
        <v>NV10143770VàoSáng</v>
      </c>
      <c r="L7" s="102">
        <f>IFERROR(VLOOKUP(K7,'1. Vân tay'!$F:$G,2,0),0)</f>
        <v>0</v>
      </c>
      <c r="M7" s="108" t="str">
        <f t="shared" ref="M7:M16" si="2">$A7&amp;$J7&amp;"Ra"&amp;"Sáng"</f>
        <v>NV10143770RaSáng</v>
      </c>
      <c r="N7" s="102">
        <f>IFERROR(VLOOKUP(M7,'1. Vân tay'!$F:$G,2,0),0)</f>
        <v>0</v>
      </c>
      <c r="O7" s="108" t="str">
        <f t="shared" ref="O7:O16" si="3">$A7&amp;$J7&amp;"Vào"&amp;"Chiều"</f>
        <v>NV10143770VàoChiều</v>
      </c>
      <c r="P7" s="102">
        <f>IFERROR(VLOOKUP(O7,'1. Vân tay'!$F:$G,2,0),0)</f>
        <v>0</v>
      </c>
      <c r="Q7" s="108" t="str">
        <f t="shared" ref="Q7:Q16" si="4">$A7&amp;$J7&amp;"Ra"&amp;"Chiều"</f>
        <v>NV10143770RaChiều</v>
      </c>
      <c r="R7" s="102">
        <f>IFERROR(VLOOKUP(Q7,'1. Vân tay'!$F:$G,2,0),0)</f>
        <v>0</v>
      </c>
      <c r="S7" s="102">
        <f>IF(OR(
(AND(L7&lt;&gt;0,P7&lt;&gt;0)),
(AND(N7&lt;&gt;0,R7&lt;&gt;0))),"Kiểm tra",0)</f>
        <v>0</v>
      </c>
      <c r="T7" s="109">
        <v>0.33333333333333331</v>
      </c>
      <c r="U7" s="109">
        <v>0.5</v>
      </c>
      <c r="V7" s="109">
        <v>0.5625</v>
      </c>
      <c r="W7" s="109">
        <v>0.72916666666666663</v>
      </c>
      <c r="X7" s="102">
        <f>HDSD!$F$4</f>
        <v>5</v>
      </c>
      <c r="Y7" s="102">
        <f>SUMIFS('2. Đi muộn về sớm'!$K:$K,
'2. Đi muộn về sớm'!$B:$B,$A7,
'2. Đi muộn về sớm'!$D:$D,$J7)</f>
        <v>0</v>
      </c>
      <c r="Z7" s="110">
        <f t="shared" ref="Z7:Z16" si="5">IF(L7=0,0,IFERROR((HOUR(L7-T7)*60+MINUTE(L7-T7)+SECOND(L7-T7)/60),0))
+IF(N7=0,0, IFERROR((HOUR(U7-N7)*60+MINUTE(U7-N7)+SECOND(U7-N7)/60),0))
+IF(P7=0,0, IFERROR((HOUR(P7-V7)*60+MINUTE(P7-V7)+SECOND(P7-V7)/60),0))
+IF(R7=0,0, IFERROR((HOUR(W7-R7)*60+MINUTE(W7-R7)+SECOND(W7-R7)/60),0))</f>
        <v>0</v>
      </c>
      <c r="AA7" s="110">
        <f t="shared" ref="AA7:AA16" si="6">IF(L7=0,0,IFERROR((HOUR(L7-"09:00:00")*60+MINUTE(L7-"09:00:00")+SECOND(L7-"09:00:00")/60),0))
+IF(N7=0,0, IFERROR((HOUR(U7-N7)*60+MINUTE(U7-N7)+SECOND(U7-N7)/60),0))
+IF(P7=0,0, IFERROR((HOUR(P7-V7)*60+MINUTE(P7-V7)+SECOND(P7-V7)/60),0))
+IF(R7=0,0, IFERROR((HOUR("16:30:00"-R7)*60+MINUTE("16:30:00"-R7)+SECOND("16:30:00"-R7)/60),0))</f>
        <v>0</v>
      </c>
      <c r="AB7" s="111">
        <f t="shared" ref="AB7:AB16" si="7">Z7-AA7</f>
        <v>0</v>
      </c>
      <c r="AC7" s="112">
        <f t="shared" ref="AC7:AC70" si="8">IF(AB7-Y7-X7&lt;=0,0,AB7-Y7-X7)</f>
        <v>0</v>
      </c>
      <c r="AD7" s="113">
        <f t="shared" ref="AD7:AD70" si="9">AC7*2000</f>
        <v>0</v>
      </c>
      <c r="AE7" s="111">
        <f t="shared" ref="AE7:AE16" si="10">AA7/60/8</f>
        <v>0</v>
      </c>
      <c r="AF7" s="113">
        <f t="shared" ref="AF7:AF70" si="11">IF(AE7="","",AE7*C7/G7)</f>
        <v>0</v>
      </c>
      <c r="AG7" s="113">
        <f t="shared" ref="AG7:AG70" si="12">AF7+AD7</f>
        <v>0</v>
      </c>
      <c r="AH7" s="114">
        <f t="shared" ref="AH7:AH23" si="13">IF(AND(AV7="Quên check in",AZ7="Đồng ý"),IFERROR(HOUR(N7-T7+R7-P7)+MINUTE(N7-T7+R7-P7)/60+SECOND(N7-T7+R7-P7)/3600,0),
IF(AND(AW7="Quên check in",AZ7="Đồng ý"),IFERROR(HOUR(N7-L7+R7-V7)+MINUTE(N7-L7+R7-V7)/60+SECOND(N7-L7+R7-V7)/3600,0),
IF(AND(AX7="Quên check out",AZ7="Đồng ý"),IFERROR(HOUR(U7-L7+R7-P7)+MINUTE(U7-L7+R7-P7)/60+SECOND(U7-L7+R7-P7)/3600,0),
IF(AND(AY7="Quên check out",AZ7="Đồng ý"),IFERROR(HOUR(N7-L7+W7-P7)+MINUTE(N7-L7+W7-P7)/60+SECOND(N7-L7+W7-P7)/3600,0),
IF(AND(LEN(AV7&amp;AW7&amp;AX7&amp;AY7)&gt;0,LEN(AV7&amp;AW7&amp;AX7&amp;AY7)&lt;15),4,
IF(LEN(AV7&amp;AW7&amp;AX7&amp;AY7)&gt;15,0,
IFERROR(HOUR(N7-L7+R7-P7)+MINUTE(N7-L7+R7-P7)/60+SECOND(N7-L7+R7-P7)/3600,0)))))))</f>
        <v>0</v>
      </c>
      <c r="AI7" s="102" t="str">
        <f t="shared" ref="AI7:AI70" si="14">IF(OR(J7&lt;D7,J7&gt;F7),"",
IF(AND(AH7&gt;0,AH7&lt;=6),"X:4",
IF(AND(AH7&gt;6),"X:8","")))</f>
        <v/>
      </c>
      <c r="AJ7" s="102" t="str">
        <f t="shared" ref="AJ7:AJ70" si="15">A7&amp;J7</f>
        <v>NV10143770</v>
      </c>
      <c r="AK7" s="102" t="str">
        <f>IF(OR(J7&lt;D7,J7&gt;F7),"",
IFERROR(INDEX('3. Đơn xin nghỉ'!$K:$K,MATCH('4. Tổng hợp dữ liệu'!AJ7,'3. Đơn xin nghỉ'!$I:$I,0),1),
IF(AND(AU7="Không CC",I7&lt;&gt;1),"Ro:8","")))</f>
        <v>Ô:8</v>
      </c>
      <c r="AL7" s="102" t="str">
        <f t="shared" ref="AL7:AL70" si="16">IF(OR(J7&lt;D7,J7&gt;F7),"",
IF(I7=1,"OFF",""))</f>
        <v/>
      </c>
      <c r="AM7" s="102" t="str">
        <f>IF(OR(AI7="",AK7=""),AI7&amp;AK7,AI7&amp;","&amp;AK7)&amp;AL7</f>
        <v>Ô:8</v>
      </c>
      <c r="AN7" s="102" t="s">
        <v>83</v>
      </c>
      <c r="AO7" s="102"/>
      <c r="AP7" s="115">
        <f>IFERROR(VLOOKUP(AN7,'Quy đổi công'!A:D,3,0),0)</f>
        <v>0</v>
      </c>
      <c r="AQ7" s="115">
        <f>IFERROR(VLOOKUP(AN7,'Quy đổi công'!A:D,4,0),0)</f>
        <v>1</v>
      </c>
      <c r="AR7" s="115">
        <f t="shared" ref="AR7:AR70" si="17">IF(J7&lt;E7,AP7,0)</f>
        <v>0</v>
      </c>
      <c r="AS7" s="115">
        <f>AP7-AR7</f>
        <v>0</v>
      </c>
      <c r="AT7" s="115">
        <f t="shared" ref="AT7:AT16" si="18">IF(AN7="P8",1)
+IF(OR(AN7="X:4,P:4",AN7="P:4,Rv:4",AN7="P:4,Ro:4"),1/2)</f>
        <v>0</v>
      </c>
      <c r="AU7" s="102" t="str">
        <f>IF(AND(L7=0,N7=0,P7=0,R7=0),"Không CC","")</f>
        <v>Không CC</v>
      </c>
      <c r="AV7" s="102" t="str">
        <f>IF(AND(L7=0,N7&lt;&gt;0,P7=0,R7=0),"Quên check in","")</f>
        <v/>
      </c>
      <c r="AW7" s="102" t="str">
        <f>IF(AND(L7=0,N7=0,P7=0,R7&lt;&gt;0),"Quên check in","")</f>
        <v/>
      </c>
      <c r="AX7" s="102" t="str">
        <f>IF(AND(L7&lt;&gt;0,N7=0,P7=0,R7=0),"Quên check out","")</f>
        <v/>
      </c>
      <c r="AY7" s="102" t="str">
        <f>IF(AND(L7=0,N7=0,P7&lt;&gt;0,R7=0),"Quên check out","")</f>
        <v/>
      </c>
      <c r="AZ7" s="102"/>
      <c r="BA7" s="102">
        <f>IF(AV7&lt;&gt;0,COUNTIFS($A$7:A7,A7,$AV$7:AV7,"Quên check in"))
+IF(AW7&lt;&gt;0,COUNTIFS($A$7:A7,A7,$AW$7:AW7,"Quên check in"))
+IF(AX7&lt;&gt;0,COUNTIFS($A$7:A7,A7,$AX$7:AX7,"Quên check out"))
+IF(AY7&lt;&gt;0,COUNTIFS($A$7:A7,A7,$AY$7:AY7,"Quên check out"))</f>
        <v>0</v>
      </c>
      <c r="BB7" s="143">
        <f>IF(BA7&gt;=3,50000,0)</f>
        <v>0</v>
      </c>
    </row>
    <row r="8" spans="1:54" s="83" customFormat="1" ht="13.2" x14ac:dyDescent="0.3">
      <c r="A8" s="103" t="s">
        <v>5</v>
      </c>
      <c r="B8" s="104" t="s">
        <v>28</v>
      </c>
      <c r="C8" s="105">
        <v>10000000</v>
      </c>
      <c r="D8" s="106">
        <v>43409</v>
      </c>
      <c r="E8" s="107">
        <v>43678</v>
      </c>
      <c r="F8" s="107">
        <v>73415</v>
      </c>
      <c r="G8" s="105">
        <v>26</v>
      </c>
      <c r="H8" s="105">
        <f t="shared" ref="H8:H16" si="19">WEEKDAY(J8,1)</f>
        <v>6</v>
      </c>
      <c r="I8" s="105"/>
      <c r="J8" s="108">
        <v>43770</v>
      </c>
      <c r="K8" s="108" t="str">
        <f t="shared" si="1"/>
        <v>NV10743770VàoSáng</v>
      </c>
      <c r="L8" s="102" t="str">
        <f>IFERROR(VLOOKUP(K8,'1. Vân tay'!$F:$G,2,0),0)</f>
        <v>08:07:24</v>
      </c>
      <c r="M8" s="108" t="str">
        <f t="shared" si="2"/>
        <v>NV10743770RaSáng</v>
      </c>
      <c r="N8" s="102">
        <f>IFERROR(VLOOKUP(M8,'1. Vân tay'!$F:$G,2,0),0)</f>
        <v>0</v>
      </c>
      <c r="O8" s="108" t="str">
        <f t="shared" si="3"/>
        <v>NV10743770VàoChiều</v>
      </c>
      <c r="P8" s="102">
        <f>IFERROR(VLOOKUP(O8,'1. Vân tay'!$F:$G,2,0),0)</f>
        <v>0</v>
      </c>
      <c r="Q8" s="108" t="str">
        <f t="shared" si="4"/>
        <v>NV10743770RaChiều</v>
      </c>
      <c r="R8" s="102" t="str">
        <f>IFERROR(VLOOKUP(Q8,'1. Vân tay'!$F:$G,2,0),0)</f>
        <v>17:37:33</v>
      </c>
      <c r="S8" s="102">
        <f t="shared" ref="S8:S16" si="20">IF(OR(
(AND(L8&lt;&gt;0,P8&lt;&gt;0)),
(AND(N8&lt;&gt;0,R8&lt;&gt;0))),"Kiểm tra",0)</f>
        <v>0</v>
      </c>
      <c r="T8" s="109">
        <v>0.33333333333333331</v>
      </c>
      <c r="U8" s="109">
        <v>0.5</v>
      </c>
      <c r="V8" s="109">
        <v>0.5625</v>
      </c>
      <c r="W8" s="109">
        <v>0.72916666666666663</v>
      </c>
      <c r="X8" s="102">
        <f>HDSD!$F$4</f>
        <v>5</v>
      </c>
      <c r="Y8" s="102">
        <f>SUMIFS('2. Đi muộn về sớm'!$K:$K,
'2. Đi muộn về sớm'!$B:$B,$A8,
'2. Đi muộn về sớm'!$D:$D,$J8)</f>
        <v>0</v>
      </c>
      <c r="Z8" s="110">
        <f t="shared" si="5"/>
        <v>7.4</v>
      </c>
      <c r="AA8" s="110">
        <f t="shared" si="6"/>
        <v>0</v>
      </c>
      <c r="AB8" s="111">
        <f t="shared" si="7"/>
        <v>7.4</v>
      </c>
      <c r="AC8" s="112">
        <f t="shared" si="8"/>
        <v>2.4000000000000004</v>
      </c>
      <c r="AD8" s="113">
        <f t="shared" si="9"/>
        <v>4800.0000000000009</v>
      </c>
      <c r="AE8" s="111">
        <f t="shared" si="10"/>
        <v>0</v>
      </c>
      <c r="AF8" s="113">
        <f t="shared" si="11"/>
        <v>0</v>
      </c>
      <c r="AG8" s="113">
        <f t="shared" si="12"/>
        <v>4800.0000000000009</v>
      </c>
      <c r="AH8" s="114">
        <f t="shared" si="13"/>
        <v>9.5024999999999995</v>
      </c>
      <c r="AI8" s="102" t="str">
        <f t="shared" si="14"/>
        <v>X:8</v>
      </c>
      <c r="AJ8" s="102" t="str">
        <f t="shared" si="15"/>
        <v>NV10743770</v>
      </c>
      <c r="AK8" s="102" t="str">
        <f>IF(OR(J8&lt;D8,J8&gt;F8),"",
IFERROR(INDEX('3. Đơn xin nghỉ'!$K:$K,MATCH('4. Tổng hợp dữ liệu'!AJ8,'3. Đơn xin nghỉ'!$I:$I,0),1),
IF(AND(AU8="Không CC",I8&lt;&gt;1),"Ro:8","")))</f>
        <v/>
      </c>
      <c r="AL8" s="102" t="str">
        <f t="shared" si="16"/>
        <v/>
      </c>
      <c r="AM8" s="102" t="str">
        <f t="shared" ref="AM8:AM16" si="21">IF(OR(AI8="",AK8=""),AI8&amp;AK8,AI8&amp;","&amp;AK8)&amp;AL8</f>
        <v>X:8</v>
      </c>
      <c r="AN8" s="102" t="s">
        <v>92</v>
      </c>
      <c r="AO8" s="102"/>
      <c r="AP8" s="115">
        <f>IFERROR(VLOOKUP(AN8,'Quy đổi công'!A:D,3,0),0)</f>
        <v>1</v>
      </c>
      <c r="AQ8" s="115">
        <f>IFERROR(VLOOKUP(AN8,'Quy đổi công'!A:D,4,0),0)</f>
        <v>0</v>
      </c>
      <c r="AR8" s="115">
        <f t="shared" si="17"/>
        <v>0</v>
      </c>
      <c r="AS8" s="115">
        <f t="shared" ref="AS8:AS16" si="22">AP8-AR8</f>
        <v>1</v>
      </c>
      <c r="AT8" s="115">
        <f t="shared" si="18"/>
        <v>0</v>
      </c>
      <c r="AU8" s="102" t="str">
        <f t="shared" ref="AU8:AU71" si="23">IF(AND(L8=0,N8=0,P8=0,R8=0),"Không CC","")</f>
        <v/>
      </c>
      <c r="AV8" s="102" t="str">
        <f t="shared" ref="AV8:AV71" si="24">IF(AND(L8=0,N8&lt;&gt;0,P8=0,R8=0),"Quên check in","")</f>
        <v/>
      </c>
      <c r="AW8" s="102" t="str">
        <f t="shared" ref="AW8:AW71" si="25">IF(AND(L8=0,N8=0,P8=0,R8&lt;&gt;0),"Quên check in","")</f>
        <v/>
      </c>
      <c r="AX8" s="102" t="str">
        <f t="shared" ref="AX8:AX71" si="26">IF(AND(L8&lt;&gt;0,N8=0,P8=0,R8=0),"Quên check out","")</f>
        <v/>
      </c>
      <c r="AY8" s="102" t="str">
        <f t="shared" ref="AY8:AY71" si="27">IF(AND(L8=0,N8=0,P8&lt;&gt;0,R8=0),"Quên check out","")</f>
        <v/>
      </c>
      <c r="AZ8" s="102"/>
      <c r="BA8" s="102">
        <f>IF(AV8&lt;&gt;0,COUNTIFS($A$7:A8,A8,$AV$7:AV8,"Quên check in"))
+IF(AW8&lt;&gt;0,COUNTIFS($A$7:A8,A8,$AW$7:AW8,"Quên check in"))
+IF(AX8&lt;&gt;0,COUNTIFS($A$7:A8,A8,$AX$7:AX8,"Quên check out"))
+IF(AY8&lt;&gt;0,COUNTIFS($A$7:A8,A8,$AY$7:AY8,"Quên check out"))</f>
        <v>0</v>
      </c>
      <c r="BB8" s="143">
        <f t="shared" ref="BB8:BB71" si="28">IF(BA8&gt;=3,50000,0)</f>
        <v>0</v>
      </c>
    </row>
    <row r="9" spans="1:54" s="83" customFormat="1" ht="13.2" x14ac:dyDescent="0.3">
      <c r="A9" s="103" t="s">
        <v>6</v>
      </c>
      <c r="B9" s="104" t="s">
        <v>15</v>
      </c>
      <c r="C9" s="105">
        <v>4700000</v>
      </c>
      <c r="D9" s="106">
        <v>43409</v>
      </c>
      <c r="E9" s="107">
        <v>43617</v>
      </c>
      <c r="F9" s="107">
        <v>73415</v>
      </c>
      <c r="G9" s="105">
        <v>26</v>
      </c>
      <c r="H9" s="105">
        <f t="shared" si="19"/>
        <v>6</v>
      </c>
      <c r="I9" s="105"/>
      <c r="J9" s="108">
        <v>43770</v>
      </c>
      <c r="K9" s="108" t="str">
        <f t="shared" si="1"/>
        <v>NV10843770VàoSáng</v>
      </c>
      <c r="L9" s="102" t="str">
        <f>IFERROR(VLOOKUP(K9,'1. Vân tay'!$F:$G,2,0),0)</f>
        <v>08:12:16</v>
      </c>
      <c r="M9" s="108" t="str">
        <f t="shared" si="2"/>
        <v>NV10843770RaSáng</v>
      </c>
      <c r="N9" s="102">
        <f>IFERROR(VLOOKUP(M9,'1. Vân tay'!$F:$G,2,0),0)</f>
        <v>0</v>
      </c>
      <c r="O9" s="108" t="str">
        <f t="shared" si="3"/>
        <v>NV10843770VàoChiều</v>
      </c>
      <c r="P9" s="102">
        <f>IFERROR(VLOOKUP(O9,'1. Vân tay'!$F:$G,2,0),0)</f>
        <v>0</v>
      </c>
      <c r="Q9" s="108" t="str">
        <f t="shared" si="4"/>
        <v>NV10843770RaChiều</v>
      </c>
      <c r="R9" s="102" t="str">
        <f>IFERROR(VLOOKUP(Q9,'1. Vân tay'!$F:$G,2,0),0)</f>
        <v>17:38:49</v>
      </c>
      <c r="S9" s="102">
        <f t="shared" si="20"/>
        <v>0</v>
      </c>
      <c r="T9" s="109">
        <v>0.33333333333333331</v>
      </c>
      <c r="U9" s="109">
        <v>0.5</v>
      </c>
      <c r="V9" s="109">
        <v>0.5625</v>
      </c>
      <c r="W9" s="109">
        <v>0.72916666666666663</v>
      </c>
      <c r="X9" s="102">
        <f>HDSD!$F$4</f>
        <v>5</v>
      </c>
      <c r="Y9" s="102">
        <f>SUMIFS('2. Đi muộn về sớm'!$K:$K,
'2. Đi muộn về sớm'!$B:$B,$A9,
'2. Đi muộn về sớm'!$D:$D,$J9)</f>
        <v>0</v>
      </c>
      <c r="Z9" s="110">
        <f t="shared" si="5"/>
        <v>12.266666666666667</v>
      </c>
      <c r="AA9" s="110">
        <f t="shared" si="6"/>
        <v>0</v>
      </c>
      <c r="AB9" s="111">
        <f t="shared" si="7"/>
        <v>12.266666666666667</v>
      </c>
      <c r="AC9" s="112">
        <f t="shared" si="8"/>
        <v>7.2666666666666675</v>
      </c>
      <c r="AD9" s="113">
        <f t="shared" si="9"/>
        <v>14533.333333333336</v>
      </c>
      <c r="AE9" s="111">
        <f t="shared" si="10"/>
        <v>0</v>
      </c>
      <c r="AF9" s="113">
        <f t="shared" si="11"/>
        <v>0</v>
      </c>
      <c r="AG9" s="113">
        <f t="shared" si="12"/>
        <v>14533.333333333336</v>
      </c>
      <c r="AH9" s="114">
        <f t="shared" si="13"/>
        <v>9.4425000000000008</v>
      </c>
      <c r="AI9" s="102" t="str">
        <f t="shared" si="14"/>
        <v>X:8</v>
      </c>
      <c r="AJ9" s="102" t="str">
        <f t="shared" si="15"/>
        <v>NV10843770</v>
      </c>
      <c r="AK9" s="102" t="str">
        <f>IF(OR(J9&lt;D9,J9&gt;F9),"",
IFERROR(INDEX('3. Đơn xin nghỉ'!$K:$K,MATCH('4. Tổng hợp dữ liệu'!AJ9,'3. Đơn xin nghỉ'!$I:$I,0),1),
IF(AND(AU9="Không CC",I9&lt;&gt;1),"Ro:8","")))</f>
        <v/>
      </c>
      <c r="AL9" s="102" t="str">
        <f t="shared" si="16"/>
        <v/>
      </c>
      <c r="AM9" s="102" t="str">
        <f t="shared" si="21"/>
        <v>X:8</v>
      </c>
      <c r="AN9" s="102" t="s">
        <v>92</v>
      </c>
      <c r="AO9" s="102"/>
      <c r="AP9" s="115">
        <f>IFERROR(VLOOKUP(AN9,'Quy đổi công'!A:D,3,0),0)</f>
        <v>1</v>
      </c>
      <c r="AQ9" s="115">
        <f>IFERROR(VLOOKUP(AN9,'Quy đổi công'!A:D,4,0),0)</f>
        <v>0</v>
      </c>
      <c r="AR9" s="115">
        <f t="shared" si="17"/>
        <v>0</v>
      </c>
      <c r="AS9" s="115">
        <f t="shared" si="22"/>
        <v>1</v>
      </c>
      <c r="AT9" s="115">
        <f t="shared" si="18"/>
        <v>0</v>
      </c>
      <c r="AU9" s="102" t="str">
        <f t="shared" si="23"/>
        <v/>
      </c>
      <c r="AV9" s="102" t="str">
        <f t="shared" si="24"/>
        <v/>
      </c>
      <c r="AW9" s="102" t="str">
        <f t="shared" si="25"/>
        <v/>
      </c>
      <c r="AX9" s="102" t="str">
        <f t="shared" si="26"/>
        <v/>
      </c>
      <c r="AY9" s="102" t="str">
        <f t="shared" si="27"/>
        <v/>
      </c>
      <c r="AZ9" s="102"/>
      <c r="BA9" s="102">
        <f>IF(AV9&lt;&gt;0,COUNTIFS($A$7:A9,A9,$AV$7:AV9,"Quên check in"))
+IF(AW9&lt;&gt;0,COUNTIFS($A$7:A9,A9,$AW$7:AW9,"Quên check in"))
+IF(AX9&lt;&gt;0,COUNTIFS($A$7:A9,A9,$AX$7:AX9,"Quên check out"))
+IF(AY9&lt;&gt;0,COUNTIFS($A$7:A9,A9,$AY$7:AY9,"Quên check out"))</f>
        <v>0</v>
      </c>
      <c r="BB9" s="143">
        <f t="shared" si="28"/>
        <v>0</v>
      </c>
    </row>
    <row r="10" spans="1:54" s="83" customFormat="1" ht="13.2" x14ac:dyDescent="0.3">
      <c r="A10" s="103" t="s">
        <v>7</v>
      </c>
      <c r="B10" s="104" t="s">
        <v>16</v>
      </c>
      <c r="C10" s="105">
        <v>5000000</v>
      </c>
      <c r="D10" s="106">
        <v>43416</v>
      </c>
      <c r="E10" s="107">
        <v>43617</v>
      </c>
      <c r="F10" s="107">
        <v>73415</v>
      </c>
      <c r="G10" s="105">
        <v>26</v>
      </c>
      <c r="H10" s="105">
        <f t="shared" si="19"/>
        <v>6</v>
      </c>
      <c r="I10" s="105"/>
      <c r="J10" s="108">
        <v>43770</v>
      </c>
      <c r="K10" s="108" t="str">
        <f t="shared" si="1"/>
        <v>NV10943770VàoSáng</v>
      </c>
      <c r="L10" s="102" t="str">
        <f>IFERROR(VLOOKUP(K10,'1. Vân tay'!$F:$G,2,0),0)</f>
        <v>07:54:34</v>
      </c>
      <c r="M10" s="108" t="str">
        <f t="shared" si="2"/>
        <v>NV10943770RaSáng</v>
      </c>
      <c r="N10" s="102">
        <f>IFERROR(VLOOKUP(M10,'1. Vân tay'!$F:$G,2,0),0)</f>
        <v>0</v>
      </c>
      <c r="O10" s="108" t="str">
        <f t="shared" si="3"/>
        <v>NV10943770VàoChiều</v>
      </c>
      <c r="P10" s="102">
        <f>IFERROR(VLOOKUP(O10,'1. Vân tay'!$F:$G,2,0),0)</f>
        <v>0</v>
      </c>
      <c r="Q10" s="108" t="str">
        <f t="shared" si="4"/>
        <v>NV10943770RaChiều</v>
      </c>
      <c r="R10" s="102" t="str">
        <f>IFERROR(VLOOKUP(Q10,'1. Vân tay'!$F:$G,2,0),0)</f>
        <v>18:12:45</v>
      </c>
      <c r="S10" s="102">
        <f t="shared" si="20"/>
        <v>0</v>
      </c>
      <c r="T10" s="109">
        <v>0.33333333333333331</v>
      </c>
      <c r="U10" s="109">
        <v>0.5</v>
      </c>
      <c r="V10" s="109">
        <v>0.5625</v>
      </c>
      <c r="W10" s="109">
        <v>0.72916666666666663</v>
      </c>
      <c r="X10" s="102">
        <f>HDSD!$F$4</f>
        <v>5</v>
      </c>
      <c r="Y10" s="102">
        <f>SUMIFS('2. Đi muộn về sớm'!$K:$K,
'2. Đi muộn về sớm'!$B:$B,$A10,
'2. Đi muộn về sớm'!$D:$D,$J10)</f>
        <v>0</v>
      </c>
      <c r="Z10" s="110">
        <f t="shared" si="5"/>
        <v>0</v>
      </c>
      <c r="AA10" s="110">
        <f t="shared" si="6"/>
        <v>0</v>
      </c>
      <c r="AB10" s="111">
        <f t="shared" si="7"/>
        <v>0</v>
      </c>
      <c r="AC10" s="112">
        <f t="shared" si="8"/>
        <v>0</v>
      </c>
      <c r="AD10" s="113">
        <f t="shared" si="9"/>
        <v>0</v>
      </c>
      <c r="AE10" s="111">
        <f t="shared" si="10"/>
        <v>0</v>
      </c>
      <c r="AF10" s="113">
        <f t="shared" si="11"/>
        <v>0</v>
      </c>
      <c r="AG10" s="113">
        <f t="shared" si="12"/>
        <v>0</v>
      </c>
      <c r="AH10" s="114">
        <f t="shared" si="13"/>
        <v>10.303055555555556</v>
      </c>
      <c r="AI10" s="102" t="str">
        <f t="shared" si="14"/>
        <v>X:8</v>
      </c>
      <c r="AJ10" s="102" t="str">
        <f t="shared" si="15"/>
        <v>NV10943770</v>
      </c>
      <c r="AK10" s="102" t="str">
        <f>IF(OR(J10&lt;D10,J10&gt;F10),"",
IFERROR(INDEX('3. Đơn xin nghỉ'!$K:$K,MATCH('4. Tổng hợp dữ liệu'!AJ10,'3. Đơn xin nghỉ'!$I:$I,0),1),
IF(AND(AU10="Không CC",I10&lt;&gt;1),"Ro:8","")))</f>
        <v/>
      </c>
      <c r="AL10" s="102" t="str">
        <f t="shared" si="16"/>
        <v/>
      </c>
      <c r="AM10" s="102" t="str">
        <f t="shared" si="21"/>
        <v>X:8</v>
      </c>
      <c r="AN10" s="102" t="s">
        <v>92</v>
      </c>
      <c r="AO10" s="102"/>
      <c r="AP10" s="115">
        <f>IFERROR(VLOOKUP(AN10,'Quy đổi công'!A:D,3,0),0)</f>
        <v>1</v>
      </c>
      <c r="AQ10" s="115">
        <f>IFERROR(VLOOKUP(AN10,'Quy đổi công'!A:D,4,0),0)</f>
        <v>0</v>
      </c>
      <c r="AR10" s="115">
        <f t="shared" si="17"/>
        <v>0</v>
      </c>
      <c r="AS10" s="115">
        <f t="shared" si="22"/>
        <v>1</v>
      </c>
      <c r="AT10" s="115">
        <f t="shared" si="18"/>
        <v>0</v>
      </c>
      <c r="AU10" s="102" t="str">
        <f t="shared" si="23"/>
        <v/>
      </c>
      <c r="AV10" s="102" t="str">
        <f t="shared" si="24"/>
        <v/>
      </c>
      <c r="AW10" s="102" t="str">
        <f t="shared" si="25"/>
        <v/>
      </c>
      <c r="AX10" s="102" t="str">
        <f t="shared" si="26"/>
        <v/>
      </c>
      <c r="AY10" s="102" t="str">
        <f t="shared" si="27"/>
        <v/>
      </c>
      <c r="AZ10" s="102"/>
      <c r="BA10" s="102">
        <f>IF(AV10&lt;&gt;0,COUNTIFS($A$7:A10,A10,$AV$7:AV10,"Quên check in"))
+IF(AW10&lt;&gt;0,COUNTIFS($A$7:A10,A10,$AW$7:AW10,"Quên check in"))
+IF(AX10&lt;&gt;0,COUNTIFS($A$7:A10,A10,$AX$7:AX10,"Quên check out"))
+IF(AY10&lt;&gt;0,COUNTIFS($A$7:A10,A10,$AY$7:AY10,"Quên check out"))</f>
        <v>0</v>
      </c>
      <c r="BB10" s="143">
        <f t="shared" si="28"/>
        <v>0</v>
      </c>
    </row>
    <row r="11" spans="1:54" s="83" customFormat="1" ht="13.2" x14ac:dyDescent="0.3">
      <c r="A11" s="103" t="s">
        <v>8</v>
      </c>
      <c r="B11" s="104" t="s">
        <v>17</v>
      </c>
      <c r="C11" s="105">
        <v>5000000</v>
      </c>
      <c r="D11" s="106">
        <v>43423</v>
      </c>
      <c r="E11" s="107">
        <v>43617</v>
      </c>
      <c r="F11" s="107">
        <v>73415</v>
      </c>
      <c r="G11" s="105">
        <v>26</v>
      </c>
      <c r="H11" s="105">
        <f t="shared" si="19"/>
        <v>6</v>
      </c>
      <c r="I11" s="105"/>
      <c r="J11" s="108">
        <v>43770</v>
      </c>
      <c r="K11" s="108" t="str">
        <f t="shared" si="1"/>
        <v>NV11343770VàoSáng</v>
      </c>
      <c r="L11" s="102" t="str">
        <f>IFERROR(VLOOKUP(K11,'1. Vân tay'!$F:$G,2,0),0)</f>
        <v>07:27:29</v>
      </c>
      <c r="M11" s="108" t="str">
        <f t="shared" si="2"/>
        <v>NV11343770RaSáng</v>
      </c>
      <c r="N11" s="102">
        <f>IFERROR(VLOOKUP(M11,'1. Vân tay'!$F:$G,2,0),0)</f>
        <v>0</v>
      </c>
      <c r="O11" s="108" t="str">
        <f t="shared" si="3"/>
        <v>NV11343770VàoChiều</v>
      </c>
      <c r="P11" s="102">
        <f>IFERROR(VLOOKUP(O11,'1. Vân tay'!$F:$G,2,0),0)</f>
        <v>0</v>
      </c>
      <c r="Q11" s="108" t="str">
        <f t="shared" si="4"/>
        <v>NV11343770RaChiều</v>
      </c>
      <c r="R11" s="102" t="str">
        <f>IFERROR(VLOOKUP(Q11,'1. Vân tay'!$F:$G,2,0),0)</f>
        <v>17:42:08</v>
      </c>
      <c r="S11" s="102">
        <f t="shared" si="20"/>
        <v>0</v>
      </c>
      <c r="T11" s="109">
        <v>0.33333333333333331</v>
      </c>
      <c r="U11" s="109">
        <v>0.5</v>
      </c>
      <c r="V11" s="109">
        <v>0.5625</v>
      </c>
      <c r="W11" s="109">
        <v>0.72916666666666663</v>
      </c>
      <c r="X11" s="102">
        <f>HDSD!$F$4</f>
        <v>5</v>
      </c>
      <c r="Y11" s="102">
        <f>SUMIFS('2. Đi muộn về sớm'!$K:$K,
'2. Đi muộn về sớm'!$B:$B,$A11,
'2. Đi muộn về sớm'!$D:$D,$J11)</f>
        <v>0</v>
      </c>
      <c r="Z11" s="110">
        <f t="shared" si="5"/>
        <v>0</v>
      </c>
      <c r="AA11" s="110">
        <f t="shared" si="6"/>
        <v>0</v>
      </c>
      <c r="AB11" s="111">
        <f t="shared" si="7"/>
        <v>0</v>
      </c>
      <c r="AC11" s="112">
        <f t="shared" si="8"/>
        <v>0</v>
      </c>
      <c r="AD11" s="113">
        <f t="shared" si="9"/>
        <v>0</v>
      </c>
      <c r="AE11" s="111">
        <f t="shared" si="10"/>
        <v>0</v>
      </c>
      <c r="AF11" s="113">
        <f t="shared" si="11"/>
        <v>0</v>
      </c>
      <c r="AG11" s="113">
        <f t="shared" si="12"/>
        <v>0</v>
      </c>
      <c r="AH11" s="114">
        <f t="shared" si="13"/>
        <v>10.244166666666667</v>
      </c>
      <c r="AI11" s="102" t="str">
        <f t="shared" si="14"/>
        <v>X:8</v>
      </c>
      <c r="AJ11" s="102" t="str">
        <f t="shared" si="15"/>
        <v>NV11343770</v>
      </c>
      <c r="AK11" s="102" t="str">
        <f>IF(OR(J11&lt;D11,J11&gt;F11),"",
IFERROR(INDEX('3. Đơn xin nghỉ'!$K:$K,MATCH('4. Tổng hợp dữ liệu'!AJ11,'3. Đơn xin nghỉ'!$I:$I,0),1),
IF(AND(AU11="Không CC",I11&lt;&gt;1),"Ro:8","")))</f>
        <v/>
      </c>
      <c r="AL11" s="102" t="str">
        <f t="shared" si="16"/>
        <v/>
      </c>
      <c r="AM11" s="102" t="str">
        <f t="shared" si="21"/>
        <v>X:8</v>
      </c>
      <c r="AN11" s="102" t="s">
        <v>92</v>
      </c>
      <c r="AO11" s="102"/>
      <c r="AP11" s="115">
        <f>IFERROR(VLOOKUP(AN11,'Quy đổi công'!A:D,3,0),0)</f>
        <v>1</v>
      </c>
      <c r="AQ11" s="115">
        <f>IFERROR(VLOOKUP(AN11,'Quy đổi công'!A:D,4,0),0)</f>
        <v>0</v>
      </c>
      <c r="AR11" s="115">
        <f t="shared" si="17"/>
        <v>0</v>
      </c>
      <c r="AS11" s="115">
        <f t="shared" si="22"/>
        <v>1</v>
      </c>
      <c r="AT11" s="115">
        <f t="shared" si="18"/>
        <v>0</v>
      </c>
      <c r="AU11" s="102" t="str">
        <f t="shared" si="23"/>
        <v/>
      </c>
      <c r="AV11" s="102" t="str">
        <f t="shared" si="24"/>
        <v/>
      </c>
      <c r="AW11" s="102" t="str">
        <f t="shared" si="25"/>
        <v/>
      </c>
      <c r="AX11" s="102" t="str">
        <f t="shared" si="26"/>
        <v/>
      </c>
      <c r="AY11" s="102" t="str">
        <f t="shared" si="27"/>
        <v/>
      </c>
      <c r="AZ11" s="102"/>
      <c r="BA11" s="102">
        <f>IF(AV11&lt;&gt;0,COUNTIFS($A$7:A11,A11,$AV$7:AV11,"Quên check in"))
+IF(AW11&lt;&gt;0,COUNTIFS($A$7:A11,A11,$AW$7:AW11,"Quên check in"))
+IF(AX11&lt;&gt;0,COUNTIFS($A$7:A11,A11,$AX$7:AX11,"Quên check out"))
+IF(AY11&lt;&gt;0,COUNTIFS($A$7:A11,A11,$AY$7:AY11,"Quên check out"))</f>
        <v>0</v>
      </c>
      <c r="BB11" s="143">
        <f t="shared" si="28"/>
        <v>0</v>
      </c>
    </row>
    <row r="12" spans="1:54" s="83" customFormat="1" ht="13.2" x14ac:dyDescent="0.3">
      <c r="A12" s="103" t="s">
        <v>9</v>
      </c>
      <c r="B12" s="104" t="s">
        <v>18</v>
      </c>
      <c r="C12" s="105">
        <v>4900000</v>
      </c>
      <c r="D12" s="106">
        <v>43437</v>
      </c>
      <c r="E12" s="107">
        <v>43617</v>
      </c>
      <c r="F12" s="107">
        <v>73415</v>
      </c>
      <c r="G12" s="105">
        <v>26</v>
      </c>
      <c r="H12" s="105">
        <f t="shared" si="19"/>
        <v>6</v>
      </c>
      <c r="I12" s="105"/>
      <c r="J12" s="108">
        <v>43770</v>
      </c>
      <c r="K12" s="108" t="str">
        <f t="shared" si="1"/>
        <v>NV11443770VàoSáng</v>
      </c>
      <c r="L12" s="102" t="str">
        <f>IFERROR(VLOOKUP(K12,'1. Vân tay'!$F:$G,2,0),0)</f>
        <v>08:44:41</v>
      </c>
      <c r="M12" s="108" t="str">
        <f t="shared" si="2"/>
        <v>NV11443770RaSáng</v>
      </c>
      <c r="N12" s="102">
        <f>IFERROR(VLOOKUP(M12,'1. Vân tay'!$F:$G,2,0),0)</f>
        <v>0</v>
      </c>
      <c r="O12" s="108" t="str">
        <f t="shared" si="3"/>
        <v>NV11443770VàoChiều</v>
      </c>
      <c r="P12" s="102">
        <f>IFERROR(VLOOKUP(O12,'1. Vân tay'!$F:$G,2,0),0)</f>
        <v>0</v>
      </c>
      <c r="Q12" s="108" t="str">
        <f t="shared" si="4"/>
        <v>NV11443770RaChiều</v>
      </c>
      <c r="R12" s="102" t="str">
        <f>IFERROR(VLOOKUP(Q12,'1. Vân tay'!$F:$G,2,0),0)</f>
        <v>17:42:02</v>
      </c>
      <c r="S12" s="102">
        <f t="shared" si="20"/>
        <v>0</v>
      </c>
      <c r="T12" s="109">
        <v>0.33333333333333331</v>
      </c>
      <c r="U12" s="109">
        <v>0.5</v>
      </c>
      <c r="V12" s="109">
        <v>0.5625</v>
      </c>
      <c r="W12" s="109">
        <v>0.72916666666666663</v>
      </c>
      <c r="X12" s="102">
        <f>HDSD!$F$4</f>
        <v>5</v>
      </c>
      <c r="Y12" s="102">
        <f>SUMIFS('2. Đi muộn về sớm'!$K:$K,
'2. Đi muộn về sớm'!$B:$B,$A12,
'2. Đi muộn về sớm'!$D:$D,$J12)</f>
        <v>60</v>
      </c>
      <c r="Z12" s="110">
        <f t="shared" si="5"/>
        <v>44.68333333333333</v>
      </c>
      <c r="AA12" s="110">
        <f t="shared" si="6"/>
        <v>0</v>
      </c>
      <c r="AB12" s="111">
        <f t="shared" si="7"/>
        <v>44.68333333333333</v>
      </c>
      <c r="AC12" s="112">
        <f t="shared" si="8"/>
        <v>0</v>
      </c>
      <c r="AD12" s="113">
        <f t="shared" si="9"/>
        <v>0</v>
      </c>
      <c r="AE12" s="111">
        <f t="shared" si="10"/>
        <v>0</v>
      </c>
      <c r="AF12" s="113">
        <f t="shared" si="11"/>
        <v>0</v>
      </c>
      <c r="AG12" s="113">
        <f t="shared" si="12"/>
        <v>0</v>
      </c>
      <c r="AH12" s="114">
        <f t="shared" si="13"/>
        <v>8.9558333333333326</v>
      </c>
      <c r="AI12" s="102" t="str">
        <f t="shared" si="14"/>
        <v>X:8</v>
      </c>
      <c r="AJ12" s="102" t="str">
        <f t="shared" si="15"/>
        <v>NV11443770</v>
      </c>
      <c r="AK12" s="102" t="str">
        <f>IF(OR(J12&lt;D12,J12&gt;F12),"",
IFERROR(INDEX('3. Đơn xin nghỉ'!$K:$K,MATCH('4. Tổng hợp dữ liệu'!AJ12,'3. Đơn xin nghỉ'!$I:$I,0),1),
IF(AND(AU12="Không CC",I12&lt;&gt;1),"Ro:8","")))</f>
        <v/>
      </c>
      <c r="AL12" s="102" t="str">
        <f t="shared" si="16"/>
        <v/>
      </c>
      <c r="AM12" s="102" t="str">
        <f t="shared" si="21"/>
        <v>X:8</v>
      </c>
      <c r="AN12" s="102" t="s">
        <v>92</v>
      </c>
      <c r="AO12" s="102"/>
      <c r="AP12" s="115">
        <f>IFERROR(VLOOKUP(AN12,'Quy đổi công'!A:D,3,0),0)</f>
        <v>1</v>
      </c>
      <c r="AQ12" s="115">
        <f>IFERROR(VLOOKUP(AN12,'Quy đổi công'!A:D,4,0),0)</f>
        <v>0</v>
      </c>
      <c r="AR12" s="115">
        <f t="shared" si="17"/>
        <v>0</v>
      </c>
      <c r="AS12" s="115">
        <f t="shared" si="22"/>
        <v>1</v>
      </c>
      <c r="AT12" s="115">
        <f t="shared" si="18"/>
        <v>0</v>
      </c>
      <c r="AU12" s="102" t="str">
        <f t="shared" si="23"/>
        <v/>
      </c>
      <c r="AV12" s="102" t="str">
        <f t="shared" si="24"/>
        <v/>
      </c>
      <c r="AW12" s="102" t="str">
        <f t="shared" si="25"/>
        <v/>
      </c>
      <c r="AX12" s="102" t="str">
        <f t="shared" si="26"/>
        <v/>
      </c>
      <c r="AY12" s="102" t="str">
        <f t="shared" si="27"/>
        <v/>
      </c>
      <c r="AZ12" s="102"/>
      <c r="BA12" s="102">
        <f>IF(AV12&lt;&gt;0,COUNTIFS($A$7:A12,A12,$AV$7:AV12,"Quên check in"))
+IF(AW12&lt;&gt;0,COUNTIFS($A$7:A12,A12,$AW$7:AW12,"Quên check in"))
+IF(AX12&lt;&gt;0,COUNTIFS($A$7:A12,A12,$AX$7:AX12,"Quên check out"))
+IF(AY12&lt;&gt;0,COUNTIFS($A$7:A12,A12,$AY$7:AY12,"Quên check out"))</f>
        <v>0</v>
      </c>
      <c r="BB12" s="143">
        <f t="shared" si="28"/>
        <v>0</v>
      </c>
    </row>
    <row r="13" spans="1:54" s="83" customFormat="1" ht="13.2" x14ac:dyDescent="0.3">
      <c r="A13" s="103" t="s">
        <v>10</v>
      </c>
      <c r="B13" s="104" t="s">
        <v>19</v>
      </c>
      <c r="C13" s="105">
        <v>5000000</v>
      </c>
      <c r="D13" s="106">
        <v>43445</v>
      </c>
      <c r="E13" s="107">
        <v>43647</v>
      </c>
      <c r="F13" s="107">
        <v>73415</v>
      </c>
      <c r="G13" s="105">
        <v>26</v>
      </c>
      <c r="H13" s="105">
        <f t="shared" si="19"/>
        <v>6</v>
      </c>
      <c r="I13" s="105"/>
      <c r="J13" s="108">
        <v>43770</v>
      </c>
      <c r="K13" s="108" t="str">
        <f t="shared" si="1"/>
        <v>NV11843770VàoSáng</v>
      </c>
      <c r="L13" s="102" t="str">
        <f>IFERROR(VLOOKUP(K13,'1. Vân tay'!$F:$G,2,0),0)</f>
        <v>07:51:39</v>
      </c>
      <c r="M13" s="108" t="str">
        <f t="shared" si="2"/>
        <v>NV11843770RaSáng</v>
      </c>
      <c r="N13" s="102">
        <f>IFERROR(VLOOKUP(M13,'1. Vân tay'!$F:$G,2,0),0)</f>
        <v>0</v>
      </c>
      <c r="O13" s="108" t="str">
        <f t="shared" si="3"/>
        <v>NV11843770VàoChiều</v>
      </c>
      <c r="P13" s="102">
        <f>IFERROR(VLOOKUP(O13,'1. Vân tay'!$F:$G,2,0),0)</f>
        <v>0</v>
      </c>
      <c r="Q13" s="108" t="str">
        <f t="shared" si="4"/>
        <v>NV11843770RaChiều</v>
      </c>
      <c r="R13" s="102" t="str">
        <f>IFERROR(VLOOKUP(Q13,'1. Vân tay'!$F:$G,2,0),0)</f>
        <v>17:30:40</v>
      </c>
      <c r="S13" s="102">
        <f t="shared" si="20"/>
        <v>0</v>
      </c>
      <c r="T13" s="109">
        <v>0.33333333333333331</v>
      </c>
      <c r="U13" s="109">
        <v>0.5</v>
      </c>
      <c r="V13" s="109">
        <v>0.5625</v>
      </c>
      <c r="W13" s="109">
        <v>0.72916666666666663</v>
      </c>
      <c r="X13" s="102">
        <f>HDSD!$F$4</f>
        <v>5</v>
      </c>
      <c r="Y13" s="102">
        <f>SUMIFS('2. Đi muộn về sớm'!$K:$K,
'2. Đi muộn về sớm'!$B:$B,$A13,
'2. Đi muộn về sớm'!$D:$D,$J13)</f>
        <v>0</v>
      </c>
      <c r="Z13" s="110">
        <f t="shared" si="5"/>
        <v>0</v>
      </c>
      <c r="AA13" s="110">
        <f t="shared" si="6"/>
        <v>0</v>
      </c>
      <c r="AB13" s="111">
        <f t="shared" si="7"/>
        <v>0</v>
      </c>
      <c r="AC13" s="112">
        <f t="shared" si="8"/>
        <v>0</v>
      </c>
      <c r="AD13" s="113">
        <f t="shared" si="9"/>
        <v>0</v>
      </c>
      <c r="AE13" s="111">
        <f t="shared" si="10"/>
        <v>0</v>
      </c>
      <c r="AF13" s="113">
        <f t="shared" si="11"/>
        <v>0</v>
      </c>
      <c r="AG13" s="113">
        <f t="shared" si="12"/>
        <v>0</v>
      </c>
      <c r="AH13" s="114">
        <f t="shared" si="13"/>
        <v>9.6502777777777773</v>
      </c>
      <c r="AI13" s="102" t="str">
        <f t="shared" si="14"/>
        <v>X:8</v>
      </c>
      <c r="AJ13" s="102" t="str">
        <f t="shared" si="15"/>
        <v>NV11843770</v>
      </c>
      <c r="AK13" s="102" t="str">
        <f>IF(OR(J13&lt;D13,J13&gt;F13),"",
IFERROR(INDEX('3. Đơn xin nghỉ'!$K:$K,MATCH('4. Tổng hợp dữ liệu'!AJ13,'3. Đơn xin nghỉ'!$I:$I,0),1),
IF(AND(AU13="Không CC",I13&lt;&gt;1),"Ro:8","")))</f>
        <v/>
      </c>
      <c r="AL13" s="102" t="str">
        <f t="shared" si="16"/>
        <v/>
      </c>
      <c r="AM13" s="102" t="str">
        <f t="shared" si="21"/>
        <v>X:8</v>
      </c>
      <c r="AN13" s="102" t="s">
        <v>92</v>
      </c>
      <c r="AO13" s="102"/>
      <c r="AP13" s="115">
        <f>IFERROR(VLOOKUP(AN13,'Quy đổi công'!A:D,3,0),0)</f>
        <v>1</v>
      </c>
      <c r="AQ13" s="115">
        <f>IFERROR(VLOOKUP(AN13,'Quy đổi công'!A:D,4,0),0)</f>
        <v>0</v>
      </c>
      <c r="AR13" s="115">
        <f t="shared" si="17"/>
        <v>0</v>
      </c>
      <c r="AS13" s="115">
        <f t="shared" si="22"/>
        <v>1</v>
      </c>
      <c r="AT13" s="115">
        <f t="shared" si="18"/>
        <v>0</v>
      </c>
      <c r="AU13" s="102" t="str">
        <f t="shared" si="23"/>
        <v/>
      </c>
      <c r="AV13" s="102" t="str">
        <f t="shared" si="24"/>
        <v/>
      </c>
      <c r="AW13" s="102" t="str">
        <f t="shared" si="25"/>
        <v/>
      </c>
      <c r="AX13" s="102" t="str">
        <f t="shared" si="26"/>
        <v/>
      </c>
      <c r="AY13" s="102" t="str">
        <f t="shared" si="27"/>
        <v/>
      </c>
      <c r="AZ13" s="102"/>
      <c r="BA13" s="102">
        <f>IF(AV13&lt;&gt;0,COUNTIFS($A$7:A13,A13,$AV$7:AV13,"Quên check in"))
+IF(AW13&lt;&gt;0,COUNTIFS($A$7:A13,A13,$AW$7:AW13,"Quên check in"))
+IF(AX13&lt;&gt;0,COUNTIFS($A$7:A13,A13,$AX$7:AX13,"Quên check out"))
+IF(AY13&lt;&gt;0,COUNTIFS($A$7:A13,A13,$AY$7:AY13,"Quên check out"))</f>
        <v>0</v>
      </c>
      <c r="BB13" s="143">
        <f t="shared" si="28"/>
        <v>0</v>
      </c>
    </row>
    <row r="14" spans="1:54" s="83" customFormat="1" ht="13.2" x14ac:dyDescent="0.3">
      <c r="A14" s="103" t="s">
        <v>11</v>
      </c>
      <c r="B14" s="104" t="s">
        <v>20</v>
      </c>
      <c r="C14" s="105">
        <v>4700000</v>
      </c>
      <c r="D14" s="106">
        <v>43467</v>
      </c>
      <c r="E14" s="107">
        <v>43617</v>
      </c>
      <c r="F14" s="107">
        <v>73415</v>
      </c>
      <c r="G14" s="105">
        <v>26</v>
      </c>
      <c r="H14" s="105">
        <f t="shared" si="19"/>
        <v>6</v>
      </c>
      <c r="I14" s="105"/>
      <c r="J14" s="108">
        <v>43770</v>
      </c>
      <c r="K14" s="108" t="str">
        <f t="shared" si="1"/>
        <v>NV12243770VàoSáng</v>
      </c>
      <c r="L14" s="102" t="str">
        <f>IFERROR(VLOOKUP(K14,'1. Vân tay'!$F:$G,2,0),0)</f>
        <v>08:01:11</v>
      </c>
      <c r="M14" s="108" t="str">
        <f t="shared" si="2"/>
        <v>NV12243770RaSáng</v>
      </c>
      <c r="N14" s="102">
        <f>IFERROR(VLOOKUP(M14,'1. Vân tay'!$F:$G,2,0),0)</f>
        <v>0</v>
      </c>
      <c r="O14" s="108" t="str">
        <f t="shared" si="3"/>
        <v>NV12243770VàoChiều</v>
      </c>
      <c r="P14" s="102">
        <f>IFERROR(VLOOKUP(O14,'1. Vân tay'!$F:$G,2,0),0)</f>
        <v>0</v>
      </c>
      <c r="Q14" s="108" t="str">
        <f t="shared" si="4"/>
        <v>NV12243770RaChiều</v>
      </c>
      <c r="R14" s="102" t="str">
        <f>IFERROR(VLOOKUP(Q14,'1. Vân tay'!$F:$G,2,0),0)</f>
        <v>17:33:40</v>
      </c>
      <c r="S14" s="102">
        <f t="shared" si="20"/>
        <v>0</v>
      </c>
      <c r="T14" s="109">
        <v>0.33333333333333331</v>
      </c>
      <c r="U14" s="109">
        <v>0.5</v>
      </c>
      <c r="V14" s="109">
        <v>0.5625</v>
      </c>
      <c r="W14" s="109">
        <v>0.72916666666666663</v>
      </c>
      <c r="X14" s="102">
        <f>HDSD!$F$4</f>
        <v>5</v>
      </c>
      <c r="Y14" s="102">
        <f>SUMIFS('2. Đi muộn về sớm'!$K:$K,
'2. Đi muộn về sớm'!$B:$B,$A14,
'2. Đi muộn về sớm'!$D:$D,$J14)</f>
        <v>0</v>
      </c>
      <c r="Z14" s="110">
        <f t="shared" si="5"/>
        <v>1.1833333333333333</v>
      </c>
      <c r="AA14" s="110">
        <f t="shared" si="6"/>
        <v>0</v>
      </c>
      <c r="AB14" s="111">
        <f t="shared" si="7"/>
        <v>1.1833333333333333</v>
      </c>
      <c r="AC14" s="112">
        <f t="shared" si="8"/>
        <v>0</v>
      </c>
      <c r="AD14" s="113">
        <f t="shared" si="9"/>
        <v>0</v>
      </c>
      <c r="AE14" s="111">
        <f t="shared" si="10"/>
        <v>0</v>
      </c>
      <c r="AF14" s="113">
        <f t="shared" si="11"/>
        <v>0</v>
      </c>
      <c r="AG14" s="113">
        <f t="shared" si="12"/>
        <v>0</v>
      </c>
      <c r="AH14" s="114">
        <f t="shared" si="13"/>
        <v>9.5413888888888891</v>
      </c>
      <c r="AI14" s="102" t="str">
        <f t="shared" si="14"/>
        <v>X:8</v>
      </c>
      <c r="AJ14" s="102" t="str">
        <f t="shared" si="15"/>
        <v>NV12243770</v>
      </c>
      <c r="AK14" s="102" t="str">
        <f>IF(OR(J14&lt;D14,J14&gt;F14),"",
IFERROR(INDEX('3. Đơn xin nghỉ'!$K:$K,MATCH('4. Tổng hợp dữ liệu'!AJ14,'3. Đơn xin nghỉ'!$I:$I,0),1),
IF(AND(AU14="Không CC",I14&lt;&gt;1),"Ro:8","")))</f>
        <v/>
      </c>
      <c r="AL14" s="102" t="str">
        <f t="shared" si="16"/>
        <v/>
      </c>
      <c r="AM14" s="102" t="str">
        <f t="shared" si="21"/>
        <v>X:8</v>
      </c>
      <c r="AN14" s="102" t="s">
        <v>92</v>
      </c>
      <c r="AO14" s="102"/>
      <c r="AP14" s="115">
        <f>IFERROR(VLOOKUP(AN14,'Quy đổi công'!A:D,3,0),0)</f>
        <v>1</v>
      </c>
      <c r="AQ14" s="115">
        <f>IFERROR(VLOOKUP(AN14,'Quy đổi công'!A:D,4,0),0)</f>
        <v>0</v>
      </c>
      <c r="AR14" s="115">
        <f t="shared" si="17"/>
        <v>0</v>
      </c>
      <c r="AS14" s="115">
        <f t="shared" si="22"/>
        <v>1</v>
      </c>
      <c r="AT14" s="115">
        <f t="shared" si="18"/>
        <v>0</v>
      </c>
      <c r="AU14" s="102" t="str">
        <f t="shared" si="23"/>
        <v/>
      </c>
      <c r="AV14" s="102" t="str">
        <f t="shared" si="24"/>
        <v/>
      </c>
      <c r="AW14" s="102" t="str">
        <f t="shared" si="25"/>
        <v/>
      </c>
      <c r="AX14" s="102" t="str">
        <f t="shared" si="26"/>
        <v/>
      </c>
      <c r="AY14" s="102" t="str">
        <f t="shared" si="27"/>
        <v/>
      </c>
      <c r="AZ14" s="102"/>
      <c r="BA14" s="102">
        <f>IF(AV14&lt;&gt;0,COUNTIFS($A$7:A14,A14,$AV$7:AV14,"Quên check in"))
+IF(AW14&lt;&gt;0,COUNTIFS($A$7:A14,A14,$AW$7:AW14,"Quên check in"))
+IF(AX14&lt;&gt;0,COUNTIFS($A$7:A14,A14,$AX$7:AX14,"Quên check out"))
+IF(AY14&lt;&gt;0,COUNTIFS($A$7:A14,A14,$AY$7:AY14,"Quên check out"))</f>
        <v>0</v>
      </c>
      <c r="BB14" s="143">
        <f t="shared" si="28"/>
        <v>0</v>
      </c>
    </row>
    <row r="15" spans="1:54" s="83" customFormat="1" ht="13.2" x14ac:dyDescent="0.3">
      <c r="A15" s="103" t="s">
        <v>12</v>
      </c>
      <c r="B15" s="104" t="s">
        <v>21</v>
      </c>
      <c r="C15" s="105">
        <v>5000000</v>
      </c>
      <c r="D15" s="106">
        <v>43482</v>
      </c>
      <c r="E15" s="107">
        <v>43647</v>
      </c>
      <c r="F15" s="107">
        <v>73415</v>
      </c>
      <c r="G15" s="105">
        <v>26</v>
      </c>
      <c r="H15" s="105">
        <f t="shared" si="19"/>
        <v>6</v>
      </c>
      <c r="I15" s="105"/>
      <c r="J15" s="108">
        <v>43770</v>
      </c>
      <c r="K15" s="108" t="str">
        <f t="shared" si="1"/>
        <v>NV12343770VàoSáng</v>
      </c>
      <c r="L15" s="102" t="str">
        <f>IFERROR(VLOOKUP(K15,'1. Vân tay'!$F:$G,2,0),0)</f>
        <v>07:46:43</v>
      </c>
      <c r="M15" s="108" t="str">
        <f t="shared" si="2"/>
        <v>NV12343770RaSáng</v>
      </c>
      <c r="N15" s="102">
        <f>IFERROR(VLOOKUP(M15,'1. Vân tay'!$F:$G,2,0),0)</f>
        <v>0</v>
      </c>
      <c r="O15" s="108" t="str">
        <f t="shared" si="3"/>
        <v>NV12343770VàoChiều</v>
      </c>
      <c r="P15" s="102">
        <f>IFERROR(VLOOKUP(O15,'1. Vân tay'!$F:$G,2,0),0)</f>
        <v>0</v>
      </c>
      <c r="Q15" s="108" t="str">
        <f t="shared" si="4"/>
        <v>NV12343770RaChiều</v>
      </c>
      <c r="R15" s="102" t="str">
        <f>IFERROR(VLOOKUP(Q15,'1. Vân tay'!$F:$G,2,0),0)</f>
        <v>17:37:52</v>
      </c>
      <c r="S15" s="102">
        <f t="shared" si="20"/>
        <v>0</v>
      </c>
      <c r="T15" s="109">
        <v>0.33333333333333331</v>
      </c>
      <c r="U15" s="109">
        <v>0.5</v>
      </c>
      <c r="V15" s="109">
        <v>0.5625</v>
      </c>
      <c r="W15" s="109">
        <v>0.72916666666666663</v>
      </c>
      <c r="X15" s="102">
        <f>HDSD!$F$4</f>
        <v>5</v>
      </c>
      <c r="Y15" s="102">
        <f>SUMIFS('2. Đi muộn về sớm'!$K:$K,
'2. Đi muộn về sớm'!$B:$B,$A15,
'2. Đi muộn về sớm'!$D:$D,$J15)</f>
        <v>0</v>
      </c>
      <c r="Z15" s="110">
        <f t="shared" si="5"/>
        <v>0</v>
      </c>
      <c r="AA15" s="110">
        <f t="shared" si="6"/>
        <v>0</v>
      </c>
      <c r="AB15" s="111">
        <f t="shared" si="7"/>
        <v>0</v>
      </c>
      <c r="AC15" s="112">
        <f t="shared" si="8"/>
        <v>0</v>
      </c>
      <c r="AD15" s="113">
        <f t="shared" si="9"/>
        <v>0</v>
      </c>
      <c r="AE15" s="111">
        <f t="shared" si="10"/>
        <v>0</v>
      </c>
      <c r="AF15" s="113">
        <f t="shared" si="11"/>
        <v>0</v>
      </c>
      <c r="AG15" s="113">
        <f t="shared" si="12"/>
        <v>0</v>
      </c>
      <c r="AH15" s="114">
        <f t="shared" si="13"/>
        <v>9.8524999999999991</v>
      </c>
      <c r="AI15" s="102" t="str">
        <f t="shared" si="14"/>
        <v>X:8</v>
      </c>
      <c r="AJ15" s="102" t="str">
        <f t="shared" si="15"/>
        <v>NV12343770</v>
      </c>
      <c r="AK15" s="102" t="str">
        <f>IF(OR(J15&lt;D15,J15&gt;F15),"",
IFERROR(INDEX('3. Đơn xin nghỉ'!$K:$K,MATCH('4. Tổng hợp dữ liệu'!AJ15,'3. Đơn xin nghỉ'!$I:$I,0),1),
IF(AND(AU15="Không CC",I15&lt;&gt;1),"Ro:8","")))</f>
        <v/>
      </c>
      <c r="AL15" s="102" t="str">
        <f t="shared" si="16"/>
        <v/>
      </c>
      <c r="AM15" s="102" t="str">
        <f t="shared" si="21"/>
        <v>X:8</v>
      </c>
      <c r="AN15" s="102" t="s">
        <v>92</v>
      </c>
      <c r="AO15" s="102"/>
      <c r="AP15" s="115">
        <f>IFERROR(VLOOKUP(AN15,'Quy đổi công'!A:D,3,0),0)</f>
        <v>1</v>
      </c>
      <c r="AQ15" s="115">
        <f>IFERROR(VLOOKUP(AN15,'Quy đổi công'!A:D,4,0),0)</f>
        <v>0</v>
      </c>
      <c r="AR15" s="115">
        <f t="shared" si="17"/>
        <v>0</v>
      </c>
      <c r="AS15" s="115">
        <f t="shared" si="22"/>
        <v>1</v>
      </c>
      <c r="AT15" s="115">
        <f t="shared" si="18"/>
        <v>0</v>
      </c>
      <c r="AU15" s="102" t="str">
        <f t="shared" si="23"/>
        <v/>
      </c>
      <c r="AV15" s="102" t="str">
        <f t="shared" si="24"/>
        <v/>
      </c>
      <c r="AW15" s="102" t="str">
        <f t="shared" si="25"/>
        <v/>
      </c>
      <c r="AX15" s="102" t="str">
        <f t="shared" si="26"/>
        <v/>
      </c>
      <c r="AY15" s="102" t="str">
        <f t="shared" si="27"/>
        <v/>
      </c>
      <c r="AZ15" s="102"/>
      <c r="BA15" s="102">
        <f>IF(AV15&lt;&gt;0,COUNTIFS($A$7:A15,A15,$AV$7:AV15,"Quên check in"))
+IF(AW15&lt;&gt;0,COUNTIFS($A$7:A15,A15,$AW$7:AW15,"Quên check in"))
+IF(AX15&lt;&gt;0,COUNTIFS($A$7:A15,A15,$AX$7:AX15,"Quên check out"))
+IF(AY15&lt;&gt;0,COUNTIFS($A$7:A15,A15,$AY$7:AY15,"Quên check out"))</f>
        <v>0</v>
      </c>
      <c r="BB15" s="143">
        <f t="shared" si="28"/>
        <v>0</v>
      </c>
    </row>
    <row r="16" spans="1:54" s="83" customFormat="1" ht="13.2" x14ac:dyDescent="0.3">
      <c r="A16" s="103" t="s">
        <v>13</v>
      </c>
      <c r="B16" s="104" t="s">
        <v>22</v>
      </c>
      <c r="C16" s="105">
        <v>4700000</v>
      </c>
      <c r="D16" s="106">
        <v>43531</v>
      </c>
      <c r="E16" s="107">
        <v>43647</v>
      </c>
      <c r="F16" s="107">
        <v>73415</v>
      </c>
      <c r="G16" s="105">
        <v>26</v>
      </c>
      <c r="H16" s="105">
        <f t="shared" si="19"/>
        <v>6</v>
      </c>
      <c r="I16" s="105"/>
      <c r="J16" s="108">
        <v>43770</v>
      </c>
      <c r="K16" s="108" t="str">
        <f t="shared" si="1"/>
        <v>NV12643770VàoSáng</v>
      </c>
      <c r="L16" s="102" t="str">
        <f>IFERROR(VLOOKUP(K16,'1. Vân tay'!$F:$G,2,0),0)</f>
        <v>08:04:36</v>
      </c>
      <c r="M16" s="108" t="str">
        <f t="shared" si="2"/>
        <v>NV12643770RaSáng</v>
      </c>
      <c r="N16" s="102">
        <f>IFERROR(VLOOKUP(M16,'1. Vân tay'!$F:$G,2,0),0)</f>
        <v>0</v>
      </c>
      <c r="O16" s="108" t="str">
        <f t="shared" si="3"/>
        <v>NV12643770VàoChiều</v>
      </c>
      <c r="P16" s="102">
        <f>IFERROR(VLOOKUP(O16,'1. Vân tay'!$F:$G,2,0),0)</f>
        <v>0</v>
      </c>
      <c r="Q16" s="108" t="str">
        <f t="shared" si="4"/>
        <v>NV12643770RaChiều</v>
      </c>
      <c r="R16" s="102" t="str">
        <f>IFERROR(VLOOKUP(Q16,'1. Vân tay'!$F:$G,2,0),0)</f>
        <v>17:36:10</v>
      </c>
      <c r="S16" s="102">
        <f t="shared" si="20"/>
        <v>0</v>
      </c>
      <c r="T16" s="109">
        <v>0.33333333333333331</v>
      </c>
      <c r="U16" s="109">
        <v>0.5</v>
      </c>
      <c r="V16" s="109">
        <v>0.5625</v>
      </c>
      <c r="W16" s="109">
        <v>0.72916666666666663</v>
      </c>
      <c r="X16" s="102">
        <f>HDSD!$F$4</f>
        <v>5</v>
      </c>
      <c r="Y16" s="102">
        <f>SUMIFS('2. Đi muộn về sớm'!$K:$K,
'2. Đi muộn về sớm'!$B:$B,$A16,
'2. Đi muộn về sớm'!$D:$D,$J16)</f>
        <v>0</v>
      </c>
      <c r="Z16" s="110">
        <f t="shared" si="5"/>
        <v>4.5999999999999996</v>
      </c>
      <c r="AA16" s="110">
        <f t="shared" si="6"/>
        <v>0</v>
      </c>
      <c r="AB16" s="111">
        <f t="shared" si="7"/>
        <v>4.5999999999999996</v>
      </c>
      <c r="AC16" s="112">
        <f t="shared" si="8"/>
        <v>0</v>
      </c>
      <c r="AD16" s="113">
        <f t="shared" si="9"/>
        <v>0</v>
      </c>
      <c r="AE16" s="111">
        <f t="shared" si="10"/>
        <v>0</v>
      </c>
      <c r="AF16" s="113">
        <f t="shared" si="11"/>
        <v>0</v>
      </c>
      <c r="AG16" s="113">
        <f t="shared" si="12"/>
        <v>0</v>
      </c>
      <c r="AH16" s="114">
        <f t="shared" si="13"/>
        <v>9.5261111111111116</v>
      </c>
      <c r="AI16" s="102" t="str">
        <f t="shared" si="14"/>
        <v>X:8</v>
      </c>
      <c r="AJ16" s="102" t="str">
        <f t="shared" si="15"/>
        <v>NV12643770</v>
      </c>
      <c r="AK16" s="102" t="str">
        <f>IF(OR(J16&lt;D16,J16&gt;F16),"",
IFERROR(INDEX('3. Đơn xin nghỉ'!$K:$K,MATCH('4. Tổng hợp dữ liệu'!AJ16,'3. Đơn xin nghỉ'!$I:$I,0),1),
IF(AND(AU16="Không CC",I16&lt;&gt;1),"Ro:8","")))</f>
        <v/>
      </c>
      <c r="AL16" s="102" t="str">
        <f t="shared" si="16"/>
        <v/>
      </c>
      <c r="AM16" s="102" t="str">
        <f t="shared" si="21"/>
        <v>X:8</v>
      </c>
      <c r="AN16" s="102" t="s">
        <v>92</v>
      </c>
      <c r="AO16" s="102"/>
      <c r="AP16" s="115">
        <f>IFERROR(VLOOKUP(AN16,'Quy đổi công'!A:D,3,0),0)</f>
        <v>1</v>
      </c>
      <c r="AQ16" s="115">
        <f>IFERROR(VLOOKUP(AN16,'Quy đổi công'!A:D,4,0),0)</f>
        <v>0</v>
      </c>
      <c r="AR16" s="115">
        <f t="shared" si="17"/>
        <v>0</v>
      </c>
      <c r="AS16" s="115">
        <f t="shared" si="22"/>
        <v>1</v>
      </c>
      <c r="AT16" s="115">
        <f t="shared" si="18"/>
        <v>0</v>
      </c>
      <c r="AU16" s="102" t="str">
        <f t="shared" si="23"/>
        <v/>
      </c>
      <c r="AV16" s="102" t="str">
        <f t="shared" si="24"/>
        <v/>
      </c>
      <c r="AW16" s="102" t="str">
        <f t="shared" si="25"/>
        <v/>
      </c>
      <c r="AX16" s="102" t="str">
        <f t="shared" si="26"/>
        <v/>
      </c>
      <c r="AY16" s="102" t="str">
        <f t="shared" si="27"/>
        <v/>
      </c>
      <c r="AZ16" s="102"/>
      <c r="BA16" s="102">
        <f>IF(AV16&lt;&gt;0,COUNTIFS($A$7:A16,A16,$AV$7:AV16,"Quên check in"))
+IF(AW16&lt;&gt;0,COUNTIFS($A$7:A16,A16,$AW$7:AW16,"Quên check in"))
+IF(AX16&lt;&gt;0,COUNTIFS($A$7:A16,A16,$AX$7:AX16,"Quên check out"))
+IF(AY16&lt;&gt;0,COUNTIFS($A$7:A16,A16,$AY$7:AY16,"Quên check out"))</f>
        <v>0</v>
      </c>
      <c r="BB16" s="143">
        <f t="shared" si="28"/>
        <v>0</v>
      </c>
    </row>
    <row r="17" spans="1:54" s="83" customFormat="1" ht="14.1" customHeight="1" x14ac:dyDescent="0.3">
      <c r="A17" s="103" t="s">
        <v>4</v>
      </c>
      <c r="B17" s="104" t="s">
        <v>14</v>
      </c>
      <c r="C17" s="105">
        <v>4700000</v>
      </c>
      <c r="D17" s="106">
        <v>43388</v>
      </c>
      <c r="E17" s="107">
        <v>43525</v>
      </c>
      <c r="F17" s="107">
        <v>73415</v>
      </c>
      <c r="G17" s="105">
        <v>26</v>
      </c>
      <c r="H17" s="105">
        <f t="shared" ref="H17:H26" si="29">WEEKDAY(J17,1)</f>
        <v>7</v>
      </c>
      <c r="I17" s="105"/>
      <c r="J17" s="108">
        <v>43771</v>
      </c>
      <c r="K17" s="108" t="str">
        <f t="shared" ref="K17:K26" si="30">$A17&amp;$J17&amp;"Vào"&amp;"Sáng"</f>
        <v>NV10143771VàoSáng</v>
      </c>
      <c r="L17" s="102">
        <f>IFERROR(VLOOKUP(K17,'1. Vân tay'!$F:$G,2,0),0)</f>
        <v>0</v>
      </c>
      <c r="M17" s="108" t="str">
        <f t="shared" ref="M17:M26" si="31">$A17&amp;$J17&amp;"Ra"&amp;"Sáng"</f>
        <v>NV10143771RaSáng</v>
      </c>
      <c r="N17" s="102">
        <f>IFERROR(VLOOKUP(M17,'1. Vân tay'!$F:$G,2,0),0)</f>
        <v>0</v>
      </c>
      <c r="O17" s="108" t="str">
        <f t="shared" ref="O17:O26" si="32">$A17&amp;$J17&amp;"Vào"&amp;"Chiều"</f>
        <v>NV10143771VàoChiều</v>
      </c>
      <c r="P17" s="102">
        <f>IFERROR(VLOOKUP(O17,'1. Vân tay'!$F:$G,2,0),0)</f>
        <v>0</v>
      </c>
      <c r="Q17" s="108" t="str">
        <f t="shared" ref="Q17:Q26" si="33">$A17&amp;$J17&amp;"Ra"&amp;"Chiều"</f>
        <v>NV10143771RaChiều</v>
      </c>
      <c r="R17" s="102">
        <f>IFERROR(VLOOKUP(Q17,'1. Vân tay'!$F:$G,2,0),0)</f>
        <v>0</v>
      </c>
      <c r="S17" s="102">
        <f t="shared" ref="S17:S26" si="34">IF(OR(
(AND(L17&lt;&gt;0,P17&lt;&gt;0)),
(AND(N17&lt;&gt;0,R17&lt;&gt;0))),"Kiểm tra",0)</f>
        <v>0</v>
      </c>
      <c r="T17" s="109">
        <v>0.33333333333333331</v>
      </c>
      <c r="U17" s="109">
        <v>0.5</v>
      </c>
      <c r="V17" s="109">
        <v>0.5625</v>
      </c>
      <c r="W17" s="109">
        <v>0.72916666666666663</v>
      </c>
      <c r="X17" s="102">
        <f>HDSD!$F$4</f>
        <v>5</v>
      </c>
      <c r="Y17" s="102">
        <f>SUMIFS('2. Đi muộn về sớm'!$K:$K,
'2. Đi muộn về sớm'!$B:$B,$A17,
'2. Đi muộn về sớm'!$D:$D,$J17)</f>
        <v>0</v>
      </c>
      <c r="Z17" s="110">
        <f t="shared" ref="Z17:Z26" si="35">IF(L17=0,0,IFERROR((HOUR(L17-T17)*60+MINUTE(L17-T17)+SECOND(L17-T17)/60),0))
+IF(N17=0,0, IFERROR((HOUR(U17-N17)*60+MINUTE(U17-N17)+SECOND(U17-N17)/60),0))
+IF(P17=0,0, IFERROR((HOUR(P17-V17)*60+MINUTE(P17-V17)+SECOND(P17-V17)/60),0))
+IF(R17=0,0, IFERROR((HOUR(W17-R17)*60+MINUTE(W17-R17)+SECOND(W17-R17)/60),0))</f>
        <v>0</v>
      </c>
      <c r="AA17" s="110">
        <f t="shared" ref="AA17:AA26" si="36">IF(L17=0,0,IFERROR((HOUR(L17-"09:00:00")*60+MINUTE(L17-"09:00:00")+SECOND(L17-"09:00:00")/60),0))
+IF(N17=0,0, IFERROR((HOUR(U17-N17)*60+MINUTE(U17-N17)+SECOND(U17-N17)/60),0))
+IF(P17=0,0, IFERROR((HOUR(P17-V17)*60+MINUTE(P17-V17)+SECOND(P17-V17)/60),0))
+IF(R17=0,0, IFERROR((HOUR("16:30:00"-R17)*60+MINUTE("16:30:00"-R17)+SECOND("16:30:00"-R17)/60),0))</f>
        <v>0</v>
      </c>
      <c r="AB17" s="111">
        <f t="shared" ref="AB17:AB26" si="37">Z17-AA17</f>
        <v>0</v>
      </c>
      <c r="AC17" s="112">
        <f t="shared" si="8"/>
        <v>0</v>
      </c>
      <c r="AD17" s="113">
        <f t="shared" si="9"/>
        <v>0</v>
      </c>
      <c r="AE17" s="111">
        <f t="shared" ref="AE17:AE26" si="38">AA17/60/8</f>
        <v>0</v>
      </c>
      <c r="AF17" s="113">
        <f t="shared" si="11"/>
        <v>0</v>
      </c>
      <c r="AG17" s="113">
        <f t="shared" si="12"/>
        <v>0</v>
      </c>
      <c r="AH17" s="114">
        <f t="shared" si="13"/>
        <v>0</v>
      </c>
      <c r="AI17" s="102" t="str">
        <f t="shared" si="14"/>
        <v/>
      </c>
      <c r="AJ17" s="102" t="str">
        <f t="shared" si="15"/>
        <v>NV10143771</v>
      </c>
      <c r="AK17" s="102" t="str">
        <f>IF(OR(J17&lt;D17,J17&gt;F17),"",
IFERROR(INDEX('3. Đơn xin nghỉ'!$K:$K,MATCH('4. Tổng hợp dữ liệu'!AJ17,'3. Đơn xin nghỉ'!$I:$I,0),1),
IF(AND(AU17="Không CC",I17&lt;&gt;1),"Ro:8","")))</f>
        <v>Ô:8</v>
      </c>
      <c r="AL17" s="102" t="str">
        <f t="shared" si="16"/>
        <v/>
      </c>
      <c r="AM17" s="102" t="str">
        <f t="shared" ref="AM17:AM26" si="39">IF(OR(AI17="",AK17=""),AI17&amp;AK17,AI17&amp;","&amp;AK17)&amp;AL17</f>
        <v>Ô:8</v>
      </c>
      <c r="AN17" s="102" t="s">
        <v>83</v>
      </c>
      <c r="AO17" s="102"/>
      <c r="AP17" s="115">
        <f>IFERROR(VLOOKUP(AN17,'Quy đổi công'!A:D,3,0),0)</f>
        <v>0</v>
      </c>
      <c r="AQ17" s="115">
        <f>IFERROR(VLOOKUP(AN17,'Quy đổi công'!A:D,4,0),0)</f>
        <v>1</v>
      </c>
      <c r="AR17" s="115">
        <f t="shared" si="17"/>
        <v>0</v>
      </c>
      <c r="AS17" s="115">
        <f t="shared" ref="AS17:AS26" si="40">AP17-AR17</f>
        <v>0</v>
      </c>
      <c r="AT17" s="115">
        <f t="shared" ref="AT17:AT26" si="41">IF(AN17="P8",1)
+IF(OR(AN17="X:4,P:4",AN17="P:4,Rv:4",AN17="P:4,Ro:4"),1/2)</f>
        <v>0</v>
      </c>
      <c r="AU17" s="102" t="str">
        <f t="shared" si="23"/>
        <v>Không CC</v>
      </c>
      <c r="AV17" s="102" t="str">
        <f t="shared" si="24"/>
        <v/>
      </c>
      <c r="AW17" s="102" t="str">
        <f t="shared" si="25"/>
        <v/>
      </c>
      <c r="AX17" s="102" t="str">
        <f t="shared" si="26"/>
        <v/>
      </c>
      <c r="AY17" s="102" t="str">
        <f t="shared" si="27"/>
        <v/>
      </c>
      <c r="AZ17" s="102"/>
      <c r="BA17" s="102">
        <f>IF(AV17&lt;&gt;0,COUNTIFS($A$7:A17,A17,$AV$7:AV17,"Quên check in"))
+IF(AW17&lt;&gt;0,COUNTIFS($A$7:A17,A17,$AW$7:AW17,"Quên check in"))
+IF(AX17&lt;&gt;0,COUNTIFS($A$7:A17,A17,$AX$7:AX17,"Quên check out"))
+IF(AY17&lt;&gt;0,COUNTIFS($A$7:A17,A17,$AY$7:AY17,"Quên check out"))</f>
        <v>0</v>
      </c>
      <c r="BB17" s="143">
        <f t="shared" si="28"/>
        <v>0</v>
      </c>
    </row>
    <row r="18" spans="1:54" s="83" customFormat="1" ht="14.1" customHeight="1" x14ac:dyDescent="0.3">
      <c r="A18" s="103" t="s">
        <v>5</v>
      </c>
      <c r="B18" s="104" t="s">
        <v>28</v>
      </c>
      <c r="C18" s="105">
        <v>10000000</v>
      </c>
      <c r="D18" s="106">
        <v>43409</v>
      </c>
      <c r="E18" s="107">
        <v>43678</v>
      </c>
      <c r="F18" s="107">
        <v>73415</v>
      </c>
      <c r="G18" s="105">
        <v>26</v>
      </c>
      <c r="H18" s="105">
        <f t="shared" si="29"/>
        <v>7</v>
      </c>
      <c r="I18" s="105"/>
      <c r="J18" s="108">
        <v>43771</v>
      </c>
      <c r="K18" s="108" t="str">
        <f t="shared" si="30"/>
        <v>NV10743771VàoSáng</v>
      </c>
      <c r="L18" s="102" t="str">
        <f>IFERROR(VLOOKUP(K18,'1. Vân tay'!$F:$G,2,0),0)</f>
        <v>07:44:35</v>
      </c>
      <c r="M18" s="108" t="str">
        <f t="shared" si="31"/>
        <v>NV10743771RaSáng</v>
      </c>
      <c r="N18" s="102">
        <f>IFERROR(VLOOKUP(M18,'1. Vân tay'!$F:$G,2,0),0)</f>
        <v>0</v>
      </c>
      <c r="O18" s="108" t="str">
        <f t="shared" si="32"/>
        <v>NV10743771VàoChiều</v>
      </c>
      <c r="P18" s="102">
        <f>IFERROR(VLOOKUP(O18,'1. Vân tay'!$F:$G,2,0),0)</f>
        <v>0</v>
      </c>
      <c r="Q18" s="108" t="str">
        <f t="shared" si="33"/>
        <v>NV10743771RaChiều</v>
      </c>
      <c r="R18" s="102" t="str">
        <f>IFERROR(VLOOKUP(Q18,'1. Vân tay'!$F:$G,2,0),0)</f>
        <v>17:37:19</v>
      </c>
      <c r="S18" s="102">
        <f t="shared" si="34"/>
        <v>0</v>
      </c>
      <c r="T18" s="109">
        <v>0.33333333333333331</v>
      </c>
      <c r="U18" s="109">
        <v>0.5</v>
      </c>
      <c r="V18" s="109">
        <v>0.5625</v>
      </c>
      <c r="W18" s="109">
        <v>0.72916666666666663</v>
      </c>
      <c r="X18" s="102">
        <f>HDSD!$F$4</f>
        <v>5</v>
      </c>
      <c r="Y18" s="102">
        <f>SUMIFS('2. Đi muộn về sớm'!$K:$K,
'2. Đi muộn về sớm'!$B:$B,$A18,
'2. Đi muộn về sớm'!$D:$D,$J18)</f>
        <v>0</v>
      </c>
      <c r="Z18" s="110">
        <f t="shared" si="35"/>
        <v>0</v>
      </c>
      <c r="AA18" s="110">
        <f t="shared" si="36"/>
        <v>0</v>
      </c>
      <c r="AB18" s="111">
        <f t="shared" si="37"/>
        <v>0</v>
      </c>
      <c r="AC18" s="112">
        <f t="shared" si="8"/>
        <v>0</v>
      </c>
      <c r="AD18" s="113">
        <f t="shared" si="9"/>
        <v>0</v>
      </c>
      <c r="AE18" s="111">
        <f t="shared" si="38"/>
        <v>0</v>
      </c>
      <c r="AF18" s="113">
        <f t="shared" si="11"/>
        <v>0</v>
      </c>
      <c r="AG18" s="113">
        <f t="shared" si="12"/>
        <v>0</v>
      </c>
      <c r="AH18" s="114">
        <f t="shared" si="13"/>
        <v>9.8788888888888895</v>
      </c>
      <c r="AI18" s="102" t="str">
        <f t="shared" si="14"/>
        <v>X:8</v>
      </c>
      <c r="AJ18" s="102" t="str">
        <f t="shared" si="15"/>
        <v>NV10743771</v>
      </c>
      <c r="AK18" s="102" t="str">
        <f>IF(OR(J18&lt;D18,J18&gt;F18),"",
IFERROR(INDEX('3. Đơn xin nghỉ'!$K:$K,MATCH('4. Tổng hợp dữ liệu'!AJ18,'3. Đơn xin nghỉ'!$I:$I,0),1),
IF(AND(AU18="Không CC",I18&lt;&gt;1),"Ro:8","")))</f>
        <v/>
      </c>
      <c r="AL18" s="102" t="str">
        <f t="shared" si="16"/>
        <v/>
      </c>
      <c r="AM18" s="102" t="str">
        <f t="shared" si="39"/>
        <v>X:8</v>
      </c>
      <c r="AN18" s="102" t="s">
        <v>92</v>
      </c>
      <c r="AO18" s="102"/>
      <c r="AP18" s="115">
        <f>IFERROR(VLOOKUP(AN18,'Quy đổi công'!A:D,3,0),0)</f>
        <v>1</v>
      </c>
      <c r="AQ18" s="115">
        <f>IFERROR(VLOOKUP(AN18,'Quy đổi công'!A:D,4,0),0)</f>
        <v>0</v>
      </c>
      <c r="AR18" s="115">
        <f t="shared" si="17"/>
        <v>0</v>
      </c>
      <c r="AS18" s="115">
        <f t="shared" si="40"/>
        <v>1</v>
      </c>
      <c r="AT18" s="115">
        <f t="shared" si="41"/>
        <v>0</v>
      </c>
      <c r="AU18" s="102" t="str">
        <f t="shared" si="23"/>
        <v/>
      </c>
      <c r="AV18" s="102" t="str">
        <f t="shared" si="24"/>
        <v/>
      </c>
      <c r="AW18" s="102" t="str">
        <f t="shared" si="25"/>
        <v/>
      </c>
      <c r="AX18" s="102" t="str">
        <f t="shared" si="26"/>
        <v/>
      </c>
      <c r="AY18" s="102" t="str">
        <f t="shared" si="27"/>
        <v/>
      </c>
      <c r="AZ18" s="102"/>
      <c r="BA18" s="102">
        <f>IF(AV18&lt;&gt;0,COUNTIFS($A$7:A18,A18,$AV$7:AV18,"Quên check in"))
+IF(AW18&lt;&gt;0,COUNTIFS($A$7:A18,A18,$AW$7:AW18,"Quên check in"))
+IF(AX18&lt;&gt;0,COUNTIFS($A$7:A18,A18,$AX$7:AX18,"Quên check out"))
+IF(AY18&lt;&gt;0,COUNTIFS($A$7:A18,A18,$AY$7:AY18,"Quên check out"))</f>
        <v>0</v>
      </c>
      <c r="BB18" s="143">
        <f t="shared" si="28"/>
        <v>0</v>
      </c>
    </row>
    <row r="19" spans="1:54" s="83" customFormat="1" ht="14.1" customHeight="1" x14ac:dyDescent="0.3">
      <c r="A19" s="103" t="s">
        <v>6</v>
      </c>
      <c r="B19" s="104" t="s">
        <v>15</v>
      </c>
      <c r="C19" s="105">
        <v>4700000</v>
      </c>
      <c r="D19" s="106">
        <v>43409</v>
      </c>
      <c r="E19" s="107">
        <v>43617</v>
      </c>
      <c r="F19" s="107">
        <v>73415</v>
      </c>
      <c r="G19" s="105">
        <v>26</v>
      </c>
      <c r="H19" s="105">
        <f t="shared" si="29"/>
        <v>7</v>
      </c>
      <c r="I19" s="105"/>
      <c r="J19" s="108">
        <v>43771</v>
      </c>
      <c r="K19" s="108" t="str">
        <f t="shared" si="30"/>
        <v>NV10843771VàoSáng</v>
      </c>
      <c r="L19" s="102" t="str">
        <f>IFERROR(VLOOKUP(K19,'1. Vân tay'!$F:$G,2,0),0)</f>
        <v>07:58:51</v>
      </c>
      <c r="M19" s="108" t="str">
        <f t="shared" si="31"/>
        <v>NV10843771RaSáng</v>
      </c>
      <c r="N19" s="102">
        <f>IFERROR(VLOOKUP(M19,'1. Vân tay'!$F:$G,2,0),0)</f>
        <v>0</v>
      </c>
      <c r="O19" s="108" t="str">
        <f t="shared" si="32"/>
        <v>NV10843771VàoChiều</v>
      </c>
      <c r="P19" s="102">
        <f>IFERROR(VLOOKUP(O19,'1. Vân tay'!$F:$G,2,0),0)</f>
        <v>0</v>
      </c>
      <c r="Q19" s="108" t="str">
        <f t="shared" si="33"/>
        <v>NV10843771RaChiều</v>
      </c>
      <c r="R19" s="102" t="str">
        <f>IFERROR(VLOOKUP(Q19,'1. Vân tay'!$F:$G,2,0),0)</f>
        <v>17:39:01</v>
      </c>
      <c r="S19" s="102">
        <f t="shared" si="34"/>
        <v>0</v>
      </c>
      <c r="T19" s="109">
        <v>0.33333333333333331</v>
      </c>
      <c r="U19" s="109">
        <v>0.5</v>
      </c>
      <c r="V19" s="109">
        <v>0.5625</v>
      </c>
      <c r="W19" s="109">
        <v>0.72916666666666663</v>
      </c>
      <c r="X19" s="102">
        <f>HDSD!$F$4</f>
        <v>5</v>
      </c>
      <c r="Y19" s="102">
        <f>SUMIFS('2. Đi muộn về sớm'!$K:$K,
'2. Đi muộn về sớm'!$B:$B,$A19,
'2. Đi muộn về sớm'!$D:$D,$J19)</f>
        <v>0</v>
      </c>
      <c r="Z19" s="110">
        <f t="shared" si="35"/>
        <v>0</v>
      </c>
      <c r="AA19" s="110">
        <f t="shared" si="36"/>
        <v>0</v>
      </c>
      <c r="AB19" s="111">
        <f t="shared" si="37"/>
        <v>0</v>
      </c>
      <c r="AC19" s="112">
        <f t="shared" si="8"/>
        <v>0</v>
      </c>
      <c r="AD19" s="113">
        <f t="shared" si="9"/>
        <v>0</v>
      </c>
      <c r="AE19" s="111">
        <f t="shared" si="38"/>
        <v>0</v>
      </c>
      <c r="AF19" s="113">
        <f t="shared" si="11"/>
        <v>0</v>
      </c>
      <c r="AG19" s="113">
        <f t="shared" si="12"/>
        <v>0</v>
      </c>
      <c r="AH19" s="114">
        <f t="shared" si="13"/>
        <v>9.6694444444444443</v>
      </c>
      <c r="AI19" s="102" t="str">
        <f t="shared" si="14"/>
        <v>X:8</v>
      </c>
      <c r="AJ19" s="102" t="str">
        <f t="shared" si="15"/>
        <v>NV10843771</v>
      </c>
      <c r="AK19" s="102" t="str">
        <f>IF(OR(J19&lt;D19,J19&gt;F19),"",
IFERROR(INDEX('3. Đơn xin nghỉ'!$K:$K,MATCH('4. Tổng hợp dữ liệu'!AJ19,'3. Đơn xin nghỉ'!$I:$I,0),1),
IF(AND(AU19="Không CC",I19&lt;&gt;1),"Ro:8","")))</f>
        <v/>
      </c>
      <c r="AL19" s="102" t="str">
        <f t="shared" si="16"/>
        <v/>
      </c>
      <c r="AM19" s="102" t="str">
        <f t="shared" si="39"/>
        <v>X:8</v>
      </c>
      <c r="AN19" s="102" t="s">
        <v>92</v>
      </c>
      <c r="AO19" s="102"/>
      <c r="AP19" s="115">
        <f>IFERROR(VLOOKUP(AN19,'Quy đổi công'!A:D,3,0),0)</f>
        <v>1</v>
      </c>
      <c r="AQ19" s="115">
        <f>IFERROR(VLOOKUP(AN19,'Quy đổi công'!A:D,4,0),0)</f>
        <v>0</v>
      </c>
      <c r="AR19" s="115">
        <f t="shared" si="17"/>
        <v>0</v>
      </c>
      <c r="AS19" s="115">
        <f t="shared" si="40"/>
        <v>1</v>
      </c>
      <c r="AT19" s="115">
        <f t="shared" si="41"/>
        <v>0</v>
      </c>
      <c r="AU19" s="102" t="str">
        <f t="shared" si="23"/>
        <v/>
      </c>
      <c r="AV19" s="102" t="str">
        <f t="shared" si="24"/>
        <v/>
      </c>
      <c r="AW19" s="102" t="str">
        <f t="shared" si="25"/>
        <v/>
      </c>
      <c r="AX19" s="102" t="str">
        <f t="shared" si="26"/>
        <v/>
      </c>
      <c r="AY19" s="102" t="str">
        <f t="shared" si="27"/>
        <v/>
      </c>
      <c r="AZ19" s="102"/>
      <c r="BA19" s="102">
        <f>IF(AV19&lt;&gt;0,COUNTIFS($A$7:A19,A19,$AV$7:AV19,"Quên check in"))
+IF(AW19&lt;&gt;0,COUNTIFS($A$7:A19,A19,$AW$7:AW19,"Quên check in"))
+IF(AX19&lt;&gt;0,COUNTIFS($A$7:A19,A19,$AX$7:AX19,"Quên check out"))
+IF(AY19&lt;&gt;0,COUNTIFS($A$7:A19,A19,$AY$7:AY19,"Quên check out"))</f>
        <v>0</v>
      </c>
      <c r="BB19" s="143">
        <f t="shared" si="28"/>
        <v>0</v>
      </c>
    </row>
    <row r="20" spans="1:54" s="83" customFormat="1" ht="14.1" customHeight="1" x14ac:dyDescent="0.3">
      <c r="A20" s="103" t="s">
        <v>7</v>
      </c>
      <c r="B20" s="104" t="s">
        <v>16</v>
      </c>
      <c r="C20" s="105">
        <v>5000000</v>
      </c>
      <c r="D20" s="106">
        <v>43416</v>
      </c>
      <c r="E20" s="107">
        <v>43617</v>
      </c>
      <c r="F20" s="107">
        <v>73415</v>
      </c>
      <c r="G20" s="105">
        <v>26</v>
      </c>
      <c r="H20" s="105">
        <f t="shared" si="29"/>
        <v>7</v>
      </c>
      <c r="I20" s="105"/>
      <c r="J20" s="108">
        <v>43771</v>
      </c>
      <c r="K20" s="108" t="str">
        <f t="shared" si="30"/>
        <v>NV10943771VàoSáng</v>
      </c>
      <c r="L20" s="102" t="str">
        <f>IFERROR(VLOOKUP(K20,'1. Vân tay'!$F:$G,2,0),0)</f>
        <v>07:51:46</v>
      </c>
      <c r="M20" s="108" t="str">
        <f t="shared" si="31"/>
        <v>NV10943771RaSáng</v>
      </c>
      <c r="N20" s="102">
        <f>IFERROR(VLOOKUP(M20,'1. Vân tay'!$F:$G,2,0),0)</f>
        <v>0</v>
      </c>
      <c r="O20" s="108" t="str">
        <f t="shared" si="32"/>
        <v>NV10943771VàoChiều</v>
      </c>
      <c r="P20" s="102">
        <f>IFERROR(VLOOKUP(O20,'1. Vân tay'!$F:$G,2,0),0)</f>
        <v>0</v>
      </c>
      <c r="Q20" s="108" t="str">
        <f t="shared" si="33"/>
        <v>NV10943771RaChiều</v>
      </c>
      <c r="R20" s="102" t="str">
        <f>IFERROR(VLOOKUP(Q20,'1. Vân tay'!$F:$G,2,0),0)</f>
        <v>17:30:55</v>
      </c>
      <c r="S20" s="102">
        <f t="shared" si="34"/>
        <v>0</v>
      </c>
      <c r="T20" s="109">
        <v>0.33333333333333331</v>
      </c>
      <c r="U20" s="109">
        <v>0.5</v>
      </c>
      <c r="V20" s="109">
        <v>0.5625</v>
      </c>
      <c r="W20" s="109">
        <v>0.72916666666666663</v>
      </c>
      <c r="X20" s="102">
        <f>HDSD!$F$4</f>
        <v>5</v>
      </c>
      <c r="Y20" s="102">
        <f>SUMIFS('2. Đi muộn về sớm'!$K:$K,
'2. Đi muộn về sớm'!$B:$B,$A20,
'2. Đi muộn về sớm'!$D:$D,$J20)</f>
        <v>0</v>
      </c>
      <c r="Z20" s="110">
        <f t="shared" si="35"/>
        <v>0</v>
      </c>
      <c r="AA20" s="110">
        <f t="shared" si="36"/>
        <v>0</v>
      </c>
      <c r="AB20" s="111">
        <f t="shared" si="37"/>
        <v>0</v>
      </c>
      <c r="AC20" s="112">
        <f t="shared" si="8"/>
        <v>0</v>
      </c>
      <c r="AD20" s="113">
        <f t="shared" si="9"/>
        <v>0</v>
      </c>
      <c r="AE20" s="111">
        <f t="shared" si="38"/>
        <v>0</v>
      </c>
      <c r="AF20" s="113">
        <f t="shared" si="11"/>
        <v>0</v>
      </c>
      <c r="AG20" s="113">
        <f t="shared" si="12"/>
        <v>0</v>
      </c>
      <c r="AH20" s="114">
        <f t="shared" si="13"/>
        <v>9.6524999999999999</v>
      </c>
      <c r="AI20" s="102" t="str">
        <f t="shared" si="14"/>
        <v>X:8</v>
      </c>
      <c r="AJ20" s="102" t="str">
        <f t="shared" si="15"/>
        <v>NV10943771</v>
      </c>
      <c r="AK20" s="102" t="str">
        <f>IF(OR(J20&lt;D20,J20&gt;F20),"",
IFERROR(INDEX('3. Đơn xin nghỉ'!$K:$K,MATCH('4. Tổng hợp dữ liệu'!AJ20,'3. Đơn xin nghỉ'!$I:$I,0),1),
IF(AND(AU20="Không CC",I20&lt;&gt;1),"Ro:8","")))</f>
        <v/>
      </c>
      <c r="AL20" s="102" t="str">
        <f t="shared" si="16"/>
        <v/>
      </c>
      <c r="AM20" s="102" t="str">
        <f t="shared" si="39"/>
        <v>X:8</v>
      </c>
      <c r="AN20" s="102" t="s">
        <v>92</v>
      </c>
      <c r="AO20" s="102"/>
      <c r="AP20" s="115">
        <f>IFERROR(VLOOKUP(AN20,'Quy đổi công'!A:D,3,0),0)</f>
        <v>1</v>
      </c>
      <c r="AQ20" s="115">
        <f>IFERROR(VLOOKUP(AN20,'Quy đổi công'!A:D,4,0),0)</f>
        <v>0</v>
      </c>
      <c r="AR20" s="115">
        <f t="shared" si="17"/>
        <v>0</v>
      </c>
      <c r="AS20" s="115">
        <f t="shared" si="40"/>
        <v>1</v>
      </c>
      <c r="AT20" s="115">
        <f t="shared" si="41"/>
        <v>0</v>
      </c>
      <c r="AU20" s="102" t="str">
        <f t="shared" si="23"/>
        <v/>
      </c>
      <c r="AV20" s="102" t="str">
        <f t="shared" si="24"/>
        <v/>
      </c>
      <c r="AW20" s="102" t="str">
        <f t="shared" si="25"/>
        <v/>
      </c>
      <c r="AX20" s="102" t="str">
        <f t="shared" si="26"/>
        <v/>
      </c>
      <c r="AY20" s="102" t="str">
        <f t="shared" si="27"/>
        <v/>
      </c>
      <c r="AZ20" s="102"/>
      <c r="BA20" s="102">
        <f>IF(AV20&lt;&gt;0,COUNTIFS($A$7:A20,A20,$AV$7:AV20,"Quên check in"))
+IF(AW20&lt;&gt;0,COUNTIFS($A$7:A20,A20,$AW$7:AW20,"Quên check in"))
+IF(AX20&lt;&gt;0,COUNTIFS($A$7:A20,A20,$AX$7:AX20,"Quên check out"))
+IF(AY20&lt;&gt;0,COUNTIFS($A$7:A20,A20,$AY$7:AY20,"Quên check out"))</f>
        <v>0</v>
      </c>
      <c r="BB20" s="143">
        <f t="shared" si="28"/>
        <v>0</v>
      </c>
    </row>
    <row r="21" spans="1:54" s="83" customFormat="1" ht="14.1" customHeight="1" x14ac:dyDescent="0.3">
      <c r="A21" s="103" t="s">
        <v>8</v>
      </c>
      <c r="B21" s="104" t="s">
        <v>17</v>
      </c>
      <c r="C21" s="105">
        <v>5000000</v>
      </c>
      <c r="D21" s="106">
        <v>43423</v>
      </c>
      <c r="E21" s="107">
        <v>43617</v>
      </c>
      <c r="F21" s="107">
        <v>73415</v>
      </c>
      <c r="G21" s="105">
        <v>26</v>
      </c>
      <c r="H21" s="105">
        <f t="shared" si="29"/>
        <v>7</v>
      </c>
      <c r="I21" s="105"/>
      <c r="J21" s="108">
        <v>43771</v>
      </c>
      <c r="K21" s="108" t="str">
        <f t="shared" si="30"/>
        <v>NV11343771VàoSáng</v>
      </c>
      <c r="L21" s="102" t="str">
        <f>IFERROR(VLOOKUP(K21,'1. Vân tay'!$F:$G,2,0),0)</f>
        <v>07:33:56</v>
      </c>
      <c r="M21" s="108" t="str">
        <f t="shared" si="31"/>
        <v>NV11343771RaSáng</v>
      </c>
      <c r="N21" s="102">
        <f>IFERROR(VLOOKUP(M21,'1. Vân tay'!$F:$G,2,0),0)</f>
        <v>0</v>
      </c>
      <c r="O21" s="108" t="str">
        <f t="shared" si="32"/>
        <v>NV11343771VàoChiều</v>
      </c>
      <c r="P21" s="102">
        <f>IFERROR(VLOOKUP(O21,'1. Vân tay'!$F:$G,2,0),0)</f>
        <v>0</v>
      </c>
      <c r="Q21" s="108" t="str">
        <f t="shared" si="33"/>
        <v>NV11343771RaChiều</v>
      </c>
      <c r="R21" s="102" t="str">
        <f>IFERROR(VLOOKUP(Q21,'1. Vân tay'!$F:$G,2,0),0)</f>
        <v>17:34:08</v>
      </c>
      <c r="S21" s="102">
        <f t="shared" si="34"/>
        <v>0</v>
      </c>
      <c r="T21" s="109">
        <v>0.33333333333333331</v>
      </c>
      <c r="U21" s="109">
        <v>0.5</v>
      </c>
      <c r="V21" s="109">
        <v>0.5625</v>
      </c>
      <c r="W21" s="109">
        <v>0.72916666666666663</v>
      </c>
      <c r="X21" s="102">
        <f>HDSD!$F$4</f>
        <v>5</v>
      </c>
      <c r="Y21" s="102">
        <f>SUMIFS('2. Đi muộn về sớm'!$K:$K,
'2. Đi muộn về sớm'!$B:$B,$A21,
'2. Đi muộn về sớm'!$D:$D,$J21)</f>
        <v>0</v>
      </c>
      <c r="Z21" s="110">
        <f t="shared" si="35"/>
        <v>0</v>
      </c>
      <c r="AA21" s="110">
        <f t="shared" si="36"/>
        <v>0</v>
      </c>
      <c r="AB21" s="111">
        <f t="shared" si="37"/>
        <v>0</v>
      </c>
      <c r="AC21" s="112">
        <f t="shared" si="8"/>
        <v>0</v>
      </c>
      <c r="AD21" s="113">
        <f t="shared" si="9"/>
        <v>0</v>
      </c>
      <c r="AE21" s="111">
        <f t="shared" si="38"/>
        <v>0</v>
      </c>
      <c r="AF21" s="113">
        <f t="shared" si="11"/>
        <v>0</v>
      </c>
      <c r="AG21" s="113">
        <f t="shared" si="12"/>
        <v>0</v>
      </c>
      <c r="AH21" s="114">
        <f t="shared" si="13"/>
        <v>10.003333333333334</v>
      </c>
      <c r="AI21" s="102" t="str">
        <f t="shared" si="14"/>
        <v>X:8</v>
      </c>
      <c r="AJ21" s="102" t="str">
        <f t="shared" si="15"/>
        <v>NV11343771</v>
      </c>
      <c r="AK21" s="102" t="str">
        <f>IF(OR(J21&lt;D21,J21&gt;F21),"",
IFERROR(INDEX('3. Đơn xin nghỉ'!$K:$K,MATCH('4. Tổng hợp dữ liệu'!AJ21,'3. Đơn xin nghỉ'!$I:$I,0),1),
IF(AND(AU21="Không CC",I21&lt;&gt;1),"Ro:8","")))</f>
        <v/>
      </c>
      <c r="AL21" s="102" t="str">
        <f t="shared" si="16"/>
        <v/>
      </c>
      <c r="AM21" s="102" t="str">
        <f t="shared" si="39"/>
        <v>X:8</v>
      </c>
      <c r="AN21" s="102" t="s">
        <v>92</v>
      </c>
      <c r="AO21" s="102"/>
      <c r="AP21" s="115">
        <f>IFERROR(VLOOKUP(AN21,'Quy đổi công'!A:D,3,0),0)</f>
        <v>1</v>
      </c>
      <c r="AQ21" s="115">
        <f>IFERROR(VLOOKUP(AN21,'Quy đổi công'!A:D,4,0),0)</f>
        <v>0</v>
      </c>
      <c r="AR21" s="115">
        <f t="shared" si="17"/>
        <v>0</v>
      </c>
      <c r="AS21" s="115">
        <f t="shared" si="40"/>
        <v>1</v>
      </c>
      <c r="AT21" s="115">
        <f t="shared" si="41"/>
        <v>0</v>
      </c>
      <c r="AU21" s="102" t="str">
        <f t="shared" si="23"/>
        <v/>
      </c>
      <c r="AV21" s="102" t="str">
        <f t="shared" si="24"/>
        <v/>
      </c>
      <c r="AW21" s="102" t="str">
        <f t="shared" si="25"/>
        <v/>
      </c>
      <c r="AX21" s="102" t="str">
        <f t="shared" si="26"/>
        <v/>
      </c>
      <c r="AY21" s="102" t="str">
        <f t="shared" si="27"/>
        <v/>
      </c>
      <c r="AZ21" s="102"/>
      <c r="BA21" s="102">
        <f>IF(AV21&lt;&gt;0,COUNTIFS($A$7:A21,A21,$AV$7:AV21,"Quên check in"))
+IF(AW21&lt;&gt;0,COUNTIFS($A$7:A21,A21,$AW$7:AW21,"Quên check in"))
+IF(AX21&lt;&gt;0,COUNTIFS($A$7:A21,A21,$AX$7:AX21,"Quên check out"))
+IF(AY21&lt;&gt;0,COUNTIFS($A$7:A21,A21,$AY$7:AY21,"Quên check out"))</f>
        <v>0</v>
      </c>
      <c r="BB21" s="143">
        <f t="shared" si="28"/>
        <v>0</v>
      </c>
    </row>
    <row r="22" spans="1:54" s="83" customFormat="1" ht="14.1" customHeight="1" x14ac:dyDescent="0.3">
      <c r="A22" s="103" t="s">
        <v>9</v>
      </c>
      <c r="B22" s="104" t="s">
        <v>18</v>
      </c>
      <c r="C22" s="105">
        <v>4900000</v>
      </c>
      <c r="D22" s="106">
        <v>43437</v>
      </c>
      <c r="E22" s="107">
        <v>43617</v>
      </c>
      <c r="F22" s="107">
        <v>73415</v>
      </c>
      <c r="G22" s="105">
        <v>26</v>
      </c>
      <c r="H22" s="105">
        <f t="shared" si="29"/>
        <v>7</v>
      </c>
      <c r="I22" s="105"/>
      <c r="J22" s="108">
        <v>43771</v>
      </c>
      <c r="K22" s="108" t="str">
        <f t="shared" si="30"/>
        <v>NV11443771VàoSáng</v>
      </c>
      <c r="L22" s="102" t="str">
        <f>IFERROR(VLOOKUP(K22,'1. Vân tay'!$F:$G,2,0),0)</f>
        <v>08:02:56</v>
      </c>
      <c r="M22" s="108" t="str">
        <f t="shared" si="31"/>
        <v>NV11443771RaSáng</v>
      </c>
      <c r="N22" s="102">
        <f>IFERROR(VLOOKUP(M22,'1. Vân tay'!$F:$G,2,0),0)</f>
        <v>0</v>
      </c>
      <c r="O22" s="108" t="str">
        <f t="shared" si="32"/>
        <v>NV11443771VàoChiều</v>
      </c>
      <c r="P22" s="102">
        <f>IFERROR(VLOOKUP(O22,'1. Vân tay'!$F:$G,2,0),0)</f>
        <v>0</v>
      </c>
      <c r="Q22" s="108" t="str">
        <f t="shared" si="33"/>
        <v>NV11443771RaChiều</v>
      </c>
      <c r="R22" s="102" t="str">
        <f>IFERROR(VLOOKUP(Q22,'1. Vân tay'!$F:$G,2,0),0)</f>
        <v>17:33:38</v>
      </c>
      <c r="S22" s="102">
        <f t="shared" si="34"/>
        <v>0</v>
      </c>
      <c r="T22" s="109">
        <v>0.33333333333333331</v>
      </c>
      <c r="U22" s="109">
        <v>0.5</v>
      </c>
      <c r="V22" s="109">
        <v>0.5625</v>
      </c>
      <c r="W22" s="109">
        <v>0.72916666666666663</v>
      </c>
      <c r="X22" s="102">
        <f>HDSD!$F$4</f>
        <v>5</v>
      </c>
      <c r="Y22" s="102">
        <f>SUMIFS('2. Đi muộn về sớm'!$K:$K,
'2. Đi muộn về sớm'!$B:$B,$A22,
'2. Đi muộn về sớm'!$D:$D,$J22)</f>
        <v>0</v>
      </c>
      <c r="Z22" s="110">
        <f t="shared" si="35"/>
        <v>2.9333333333333336</v>
      </c>
      <c r="AA22" s="110">
        <f t="shared" si="36"/>
        <v>0</v>
      </c>
      <c r="AB22" s="111">
        <f t="shared" si="37"/>
        <v>2.9333333333333336</v>
      </c>
      <c r="AC22" s="112">
        <f t="shared" si="8"/>
        <v>0</v>
      </c>
      <c r="AD22" s="113">
        <f t="shared" si="9"/>
        <v>0</v>
      </c>
      <c r="AE22" s="111">
        <f t="shared" si="38"/>
        <v>0</v>
      </c>
      <c r="AF22" s="113">
        <f t="shared" si="11"/>
        <v>0</v>
      </c>
      <c r="AG22" s="113">
        <f t="shared" si="12"/>
        <v>0</v>
      </c>
      <c r="AH22" s="114">
        <f t="shared" si="13"/>
        <v>9.5116666666666667</v>
      </c>
      <c r="AI22" s="102" t="str">
        <f t="shared" si="14"/>
        <v>X:8</v>
      </c>
      <c r="AJ22" s="102" t="str">
        <f t="shared" si="15"/>
        <v>NV11443771</v>
      </c>
      <c r="AK22" s="102" t="str">
        <f>IF(OR(J22&lt;D22,J22&gt;F22),"",
IFERROR(INDEX('3. Đơn xin nghỉ'!$K:$K,MATCH('4. Tổng hợp dữ liệu'!AJ22,'3. Đơn xin nghỉ'!$I:$I,0),1),
IF(AND(AU22="Không CC",I22&lt;&gt;1),"Ro:8","")))</f>
        <v/>
      </c>
      <c r="AL22" s="102" t="str">
        <f t="shared" si="16"/>
        <v/>
      </c>
      <c r="AM22" s="102" t="str">
        <f t="shared" si="39"/>
        <v>X:8</v>
      </c>
      <c r="AN22" s="102" t="s">
        <v>92</v>
      </c>
      <c r="AO22" s="102"/>
      <c r="AP22" s="115">
        <f>IFERROR(VLOOKUP(AN22,'Quy đổi công'!A:D,3,0),0)</f>
        <v>1</v>
      </c>
      <c r="AQ22" s="115">
        <f>IFERROR(VLOOKUP(AN22,'Quy đổi công'!A:D,4,0),0)</f>
        <v>0</v>
      </c>
      <c r="AR22" s="115">
        <f t="shared" si="17"/>
        <v>0</v>
      </c>
      <c r="AS22" s="115">
        <f t="shared" si="40"/>
        <v>1</v>
      </c>
      <c r="AT22" s="115">
        <f t="shared" si="41"/>
        <v>0</v>
      </c>
      <c r="AU22" s="102" t="str">
        <f t="shared" si="23"/>
        <v/>
      </c>
      <c r="AV22" s="102" t="str">
        <f t="shared" si="24"/>
        <v/>
      </c>
      <c r="AW22" s="102" t="str">
        <f t="shared" si="25"/>
        <v/>
      </c>
      <c r="AX22" s="102" t="str">
        <f t="shared" si="26"/>
        <v/>
      </c>
      <c r="AY22" s="102" t="str">
        <f t="shared" si="27"/>
        <v/>
      </c>
      <c r="AZ22" s="102"/>
      <c r="BA22" s="102">
        <f>IF(AV22&lt;&gt;0,COUNTIFS($A$7:A22,A22,$AV$7:AV22,"Quên check in"))
+IF(AW22&lt;&gt;0,COUNTIFS($A$7:A22,A22,$AW$7:AW22,"Quên check in"))
+IF(AX22&lt;&gt;0,COUNTIFS($A$7:A22,A22,$AX$7:AX22,"Quên check out"))
+IF(AY22&lt;&gt;0,COUNTIFS($A$7:A22,A22,$AY$7:AY22,"Quên check out"))</f>
        <v>0</v>
      </c>
      <c r="BB22" s="143">
        <f t="shared" si="28"/>
        <v>0</v>
      </c>
    </row>
    <row r="23" spans="1:54" s="83" customFormat="1" ht="14.1" customHeight="1" x14ac:dyDescent="0.3">
      <c r="A23" s="103" t="s">
        <v>10</v>
      </c>
      <c r="B23" s="104" t="s">
        <v>19</v>
      </c>
      <c r="C23" s="105">
        <v>5000000</v>
      </c>
      <c r="D23" s="106">
        <v>43445</v>
      </c>
      <c r="E23" s="107">
        <v>43647</v>
      </c>
      <c r="F23" s="107">
        <v>73415</v>
      </c>
      <c r="G23" s="105">
        <v>26</v>
      </c>
      <c r="H23" s="105">
        <f t="shared" si="29"/>
        <v>7</v>
      </c>
      <c r="I23" s="105"/>
      <c r="J23" s="108">
        <v>43771</v>
      </c>
      <c r="K23" s="108" t="str">
        <f t="shared" si="30"/>
        <v>NV11843771VàoSáng</v>
      </c>
      <c r="L23" s="102" t="str">
        <f>IFERROR(VLOOKUP(K23,'1. Vân tay'!$F:$G,2,0),0)</f>
        <v>07:57:05</v>
      </c>
      <c r="M23" s="108" t="str">
        <f t="shared" si="31"/>
        <v>NV11843771RaSáng</v>
      </c>
      <c r="N23" s="102">
        <f>IFERROR(VLOOKUP(M23,'1. Vân tay'!$F:$G,2,0),0)</f>
        <v>0</v>
      </c>
      <c r="O23" s="108" t="str">
        <f t="shared" si="32"/>
        <v>NV11843771VàoChiều</v>
      </c>
      <c r="P23" s="102">
        <f>IFERROR(VLOOKUP(O23,'1. Vân tay'!$F:$G,2,0),0)</f>
        <v>0</v>
      </c>
      <c r="Q23" s="108" t="str">
        <f t="shared" si="33"/>
        <v>NV11843771RaChiều</v>
      </c>
      <c r="R23" s="102" t="str">
        <f>IFERROR(VLOOKUP(Q23,'1. Vân tay'!$F:$G,2,0),0)</f>
        <v>17:44:04</v>
      </c>
      <c r="S23" s="102">
        <f t="shared" si="34"/>
        <v>0</v>
      </c>
      <c r="T23" s="109">
        <v>0.33333333333333331</v>
      </c>
      <c r="U23" s="109">
        <v>0.5</v>
      </c>
      <c r="V23" s="109">
        <v>0.5625</v>
      </c>
      <c r="W23" s="109">
        <v>0.72916666666666663</v>
      </c>
      <c r="X23" s="102">
        <f>HDSD!$F$4</f>
        <v>5</v>
      </c>
      <c r="Y23" s="102">
        <f>SUMIFS('2. Đi muộn về sớm'!$K:$K,
'2. Đi muộn về sớm'!$B:$B,$A23,
'2. Đi muộn về sớm'!$D:$D,$J23)</f>
        <v>0</v>
      </c>
      <c r="Z23" s="110">
        <f t="shared" si="35"/>
        <v>0</v>
      </c>
      <c r="AA23" s="110">
        <f t="shared" si="36"/>
        <v>0</v>
      </c>
      <c r="AB23" s="111">
        <f t="shared" si="37"/>
        <v>0</v>
      </c>
      <c r="AC23" s="112">
        <f t="shared" si="8"/>
        <v>0</v>
      </c>
      <c r="AD23" s="113">
        <f t="shared" si="9"/>
        <v>0</v>
      </c>
      <c r="AE23" s="111">
        <f t="shared" si="38"/>
        <v>0</v>
      </c>
      <c r="AF23" s="113">
        <f t="shared" si="11"/>
        <v>0</v>
      </c>
      <c r="AG23" s="113">
        <f t="shared" si="12"/>
        <v>0</v>
      </c>
      <c r="AH23" s="114">
        <f t="shared" si="13"/>
        <v>9.7830555555555563</v>
      </c>
      <c r="AI23" s="102" t="str">
        <f t="shared" si="14"/>
        <v>X:8</v>
      </c>
      <c r="AJ23" s="102" t="str">
        <f t="shared" si="15"/>
        <v>NV11843771</v>
      </c>
      <c r="AK23" s="102" t="str">
        <f>IF(OR(J23&lt;D23,J23&gt;F23),"",
IFERROR(INDEX('3. Đơn xin nghỉ'!$K:$K,MATCH('4. Tổng hợp dữ liệu'!AJ23,'3. Đơn xin nghỉ'!$I:$I,0),1),
IF(AND(AU23="Không CC",I23&lt;&gt;1),"Ro:8","")))</f>
        <v/>
      </c>
      <c r="AL23" s="102" t="str">
        <f t="shared" si="16"/>
        <v/>
      </c>
      <c r="AM23" s="102" t="str">
        <f t="shared" si="39"/>
        <v>X:8</v>
      </c>
      <c r="AN23" s="102" t="s">
        <v>92</v>
      </c>
      <c r="AO23" s="102"/>
      <c r="AP23" s="115">
        <f>IFERROR(VLOOKUP(AN23,'Quy đổi công'!A:D,3,0),0)</f>
        <v>1</v>
      </c>
      <c r="AQ23" s="115">
        <f>IFERROR(VLOOKUP(AN23,'Quy đổi công'!A:D,4,0),0)</f>
        <v>0</v>
      </c>
      <c r="AR23" s="115">
        <f t="shared" si="17"/>
        <v>0</v>
      </c>
      <c r="AS23" s="115">
        <f t="shared" si="40"/>
        <v>1</v>
      </c>
      <c r="AT23" s="115">
        <f t="shared" si="41"/>
        <v>0</v>
      </c>
      <c r="AU23" s="102" t="str">
        <f t="shared" si="23"/>
        <v/>
      </c>
      <c r="AV23" s="102" t="str">
        <f t="shared" si="24"/>
        <v/>
      </c>
      <c r="AW23" s="102" t="str">
        <f t="shared" si="25"/>
        <v/>
      </c>
      <c r="AX23" s="102" t="str">
        <f t="shared" si="26"/>
        <v/>
      </c>
      <c r="AY23" s="102" t="str">
        <f t="shared" si="27"/>
        <v/>
      </c>
      <c r="AZ23" s="102"/>
      <c r="BA23" s="102">
        <f>IF(AV23&lt;&gt;0,COUNTIFS($A$7:A23,A23,$AV$7:AV23,"Quên check in"))
+IF(AW23&lt;&gt;0,COUNTIFS($A$7:A23,A23,$AW$7:AW23,"Quên check in"))
+IF(AX23&lt;&gt;0,COUNTIFS($A$7:A23,A23,$AX$7:AX23,"Quên check out"))
+IF(AY23&lt;&gt;0,COUNTIFS($A$7:A23,A23,$AY$7:AY23,"Quên check out"))</f>
        <v>0</v>
      </c>
      <c r="BB23" s="143">
        <f t="shared" si="28"/>
        <v>0</v>
      </c>
    </row>
    <row r="24" spans="1:54" s="83" customFormat="1" ht="14.1" customHeight="1" x14ac:dyDescent="0.3">
      <c r="A24" s="103" t="s">
        <v>11</v>
      </c>
      <c r="B24" s="104" t="s">
        <v>20</v>
      </c>
      <c r="C24" s="105">
        <v>4700000</v>
      </c>
      <c r="D24" s="106">
        <v>43467</v>
      </c>
      <c r="E24" s="107">
        <v>43617</v>
      </c>
      <c r="F24" s="107">
        <v>73415</v>
      </c>
      <c r="G24" s="105">
        <v>26</v>
      </c>
      <c r="H24" s="105">
        <f t="shared" si="29"/>
        <v>7</v>
      </c>
      <c r="I24" s="105"/>
      <c r="J24" s="108">
        <v>43771</v>
      </c>
      <c r="K24" s="108" t="str">
        <f t="shared" si="30"/>
        <v>NV12243771VàoSáng</v>
      </c>
      <c r="L24" s="102">
        <f>IFERROR(VLOOKUP(K24,'1. Vân tay'!$F:$G,2,0),0)</f>
        <v>0</v>
      </c>
      <c r="M24" s="108" t="str">
        <f t="shared" si="31"/>
        <v>NV12243771RaSáng</v>
      </c>
      <c r="N24" s="102">
        <f>IFERROR(VLOOKUP(M24,'1. Vân tay'!$F:$G,2,0),0)</f>
        <v>0</v>
      </c>
      <c r="O24" s="108" t="str">
        <f t="shared" si="32"/>
        <v>NV12243771VàoChiều</v>
      </c>
      <c r="P24" s="102">
        <f>IFERROR(VLOOKUP(O24,'1. Vân tay'!$F:$G,2,0),0)</f>
        <v>0</v>
      </c>
      <c r="Q24" s="108" t="str">
        <f t="shared" si="33"/>
        <v>NV12243771RaChiều</v>
      </c>
      <c r="R24" s="102" t="str">
        <f>IFERROR(VLOOKUP(Q24,'1. Vân tay'!$F:$G,2,0),0)</f>
        <v>17:31:54</v>
      </c>
      <c r="S24" s="102">
        <f t="shared" si="34"/>
        <v>0</v>
      </c>
      <c r="T24" s="109">
        <v>0.33333333333333331</v>
      </c>
      <c r="U24" s="109">
        <v>0.5</v>
      </c>
      <c r="V24" s="109">
        <v>0.5625</v>
      </c>
      <c r="W24" s="109">
        <v>0.72916666666666663</v>
      </c>
      <c r="X24" s="102">
        <f>HDSD!$F$4</f>
        <v>5</v>
      </c>
      <c r="Y24" s="102">
        <f>SUMIFS('2. Đi muộn về sớm'!$K:$K,
'2. Đi muộn về sớm'!$B:$B,$A24,
'2. Đi muộn về sớm'!$D:$D,$J24)</f>
        <v>0</v>
      </c>
      <c r="Z24" s="110">
        <f t="shared" si="35"/>
        <v>0</v>
      </c>
      <c r="AA24" s="110">
        <f t="shared" si="36"/>
        <v>0</v>
      </c>
      <c r="AB24" s="111">
        <f t="shared" si="37"/>
        <v>0</v>
      </c>
      <c r="AC24" s="112">
        <f t="shared" si="8"/>
        <v>0</v>
      </c>
      <c r="AD24" s="113">
        <f t="shared" si="9"/>
        <v>0</v>
      </c>
      <c r="AE24" s="111">
        <f t="shared" si="38"/>
        <v>0</v>
      </c>
      <c r="AF24" s="113">
        <f t="shared" si="11"/>
        <v>0</v>
      </c>
      <c r="AG24" s="113">
        <f t="shared" si="12"/>
        <v>0</v>
      </c>
      <c r="AH24" s="114">
        <f>IF(AND(AV24="Quên check in",AZ24="Đồng ý"),IFERROR(HOUR(N24-T24+R24-P24)+MINUTE(N24-T24+R24-P24)/60+SECOND(N24-T24+R24-P24)/3600,0),
IF(AND(AW24="Quên check in",AZ24="Đồng ý"),IFERROR(HOUR(N24-L24+R24-V24)+MINUTE(N24-L24+R24-V24)/60+SECOND(N24-L24+R24-V24)/3600,0),
IF(AND(AX24="Quên check out",AZ24="Đồng ý"),IFERROR(HOUR(U24-L24+R24-P24)+MINUTE(U24-L24+R24-P24)/60+SECOND(U24-L24+R24-P24)/3600,0),
IF(AND(AY24="Quên check out",AZ24="Đồng ý"),IFERROR(HOUR(N24-L24+W24-P24)+MINUTE(N24-L24+W24-P24)/60+SECOND(N24-L24+W24-P24)/3600,0),
IF(AND(LEN(AV24&amp;AW24&amp;AX24&amp;AY24)&gt;0,LEN(AV24&amp;AW24&amp;AX24&amp;AY24)&lt;15),4,
IF(LEN(AV24&amp;AW24&amp;AX24&amp;AY24)&gt;15,0,
IFERROR(HOUR(N24-L24+R24-P24)+MINUTE(N24-L24+R24-P24)/60+SECOND(N24-L24+R24-P24)/3600,0)))))))</f>
        <v>4.0316666666666663</v>
      </c>
      <c r="AI24" s="102" t="str">
        <f t="shared" si="14"/>
        <v>X:4</v>
      </c>
      <c r="AJ24" s="102" t="str">
        <f t="shared" si="15"/>
        <v>NV12243771</v>
      </c>
      <c r="AK24" s="102" t="str">
        <f>IF(OR(J24&lt;D24,J24&gt;F24),"",
IFERROR(INDEX('3. Đơn xin nghỉ'!$K:$K,MATCH('4. Tổng hợp dữ liệu'!AJ24,'3. Đơn xin nghỉ'!$I:$I,0),1),
IF(AND(AU24="Không CC",I24&lt;&gt;1),"Ro:8","")))</f>
        <v>Ro:4</v>
      </c>
      <c r="AL24" s="102" t="str">
        <f t="shared" si="16"/>
        <v/>
      </c>
      <c r="AM24" s="102" t="str">
        <f t="shared" si="39"/>
        <v>X:4,Ro:4</v>
      </c>
      <c r="AN24" s="102" t="s">
        <v>92</v>
      </c>
      <c r="AO24" s="102" t="s">
        <v>280</v>
      </c>
      <c r="AP24" s="115">
        <f>IFERROR(VLOOKUP(AN24,'Quy đổi công'!A:D,3,0),0)</f>
        <v>1</v>
      </c>
      <c r="AQ24" s="115">
        <f>IFERROR(VLOOKUP(AN24,'Quy đổi công'!A:D,4,0),0)</f>
        <v>0</v>
      </c>
      <c r="AR24" s="115">
        <f t="shared" si="17"/>
        <v>0</v>
      </c>
      <c r="AS24" s="115">
        <f t="shared" si="40"/>
        <v>1</v>
      </c>
      <c r="AT24" s="115">
        <f t="shared" si="41"/>
        <v>0</v>
      </c>
      <c r="AU24" s="102" t="str">
        <f t="shared" si="23"/>
        <v/>
      </c>
      <c r="AV24" s="102" t="str">
        <f t="shared" si="24"/>
        <v/>
      </c>
      <c r="AW24" s="102" t="str">
        <f t="shared" si="25"/>
        <v>Quên check in</v>
      </c>
      <c r="AX24" s="102" t="str">
        <f t="shared" si="26"/>
        <v/>
      </c>
      <c r="AY24" s="102" t="str">
        <f t="shared" si="27"/>
        <v/>
      </c>
      <c r="AZ24" s="102" t="s">
        <v>230</v>
      </c>
      <c r="BA24" s="102">
        <f>IF(AV24&lt;&gt;0,COUNTIFS($A$7:A24,A24,$AV$7:AV24,"Quên check in"))
+IF(AW24&lt;&gt;0,COUNTIFS($A$7:A24,A24,$AW$7:AW24,"Quên check in"))
+IF(AX24&lt;&gt;0,COUNTIFS($A$7:A24,A24,$AX$7:AX24,"Quên check out"))
+IF(AY24&lt;&gt;0,COUNTIFS($A$7:A24,A24,$AY$7:AY24,"Quên check out"))</f>
        <v>1</v>
      </c>
      <c r="BB24" s="143">
        <f t="shared" si="28"/>
        <v>0</v>
      </c>
    </row>
    <row r="25" spans="1:54" s="83" customFormat="1" ht="14.1" customHeight="1" x14ac:dyDescent="0.3">
      <c r="A25" s="103" t="s">
        <v>12</v>
      </c>
      <c r="B25" s="104" t="s">
        <v>21</v>
      </c>
      <c r="C25" s="105">
        <v>5000000</v>
      </c>
      <c r="D25" s="106">
        <v>43482</v>
      </c>
      <c r="E25" s="107">
        <v>43647</v>
      </c>
      <c r="F25" s="107">
        <v>73415</v>
      </c>
      <c r="G25" s="105">
        <v>26</v>
      </c>
      <c r="H25" s="105">
        <f t="shared" si="29"/>
        <v>7</v>
      </c>
      <c r="I25" s="105"/>
      <c r="J25" s="108">
        <v>43771</v>
      </c>
      <c r="K25" s="108" t="str">
        <f t="shared" si="30"/>
        <v>NV12343771VàoSáng</v>
      </c>
      <c r="L25" s="102" t="str">
        <f>IFERROR(VLOOKUP(K25,'1. Vân tay'!$F:$G,2,0),0)</f>
        <v>07:41:23</v>
      </c>
      <c r="M25" s="108" t="str">
        <f t="shared" si="31"/>
        <v>NV12343771RaSáng</v>
      </c>
      <c r="N25" s="102">
        <f>IFERROR(VLOOKUP(M25,'1. Vân tay'!$F:$G,2,0),0)</f>
        <v>0</v>
      </c>
      <c r="O25" s="108" t="str">
        <f t="shared" si="32"/>
        <v>NV12343771VàoChiều</v>
      </c>
      <c r="P25" s="102">
        <f>IFERROR(VLOOKUP(O25,'1. Vân tay'!$F:$G,2,0),0)</f>
        <v>0</v>
      </c>
      <c r="Q25" s="108" t="str">
        <f t="shared" si="33"/>
        <v>NV12343771RaChiều</v>
      </c>
      <c r="R25" s="102" t="str">
        <f>IFERROR(VLOOKUP(Q25,'1. Vân tay'!$F:$G,2,0),0)</f>
        <v>17:31:36</v>
      </c>
      <c r="S25" s="102">
        <f t="shared" si="34"/>
        <v>0</v>
      </c>
      <c r="T25" s="109">
        <v>0.33333333333333331</v>
      </c>
      <c r="U25" s="109">
        <v>0.5</v>
      </c>
      <c r="V25" s="109">
        <v>0.5625</v>
      </c>
      <c r="W25" s="109">
        <v>0.72916666666666663</v>
      </c>
      <c r="X25" s="102">
        <f>HDSD!$F$4</f>
        <v>5</v>
      </c>
      <c r="Y25" s="102">
        <f>SUMIFS('2. Đi muộn về sớm'!$K:$K,
'2. Đi muộn về sớm'!$B:$B,$A25,
'2. Đi muộn về sớm'!$D:$D,$J25)</f>
        <v>0</v>
      </c>
      <c r="Z25" s="110">
        <f t="shared" si="35"/>
        <v>0</v>
      </c>
      <c r="AA25" s="110">
        <f t="shared" si="36"/>
        <v>0</v>
      </c>
      <c r="AB25" s="111">
        <f t="shared" si="37"/>
        <v>0</v>
      </c>
      <c r="AC25" s="112">
        <f t="shared" si="8"/>
        <v>0</v>
      </c>
      <c r="AD25" s="113">
        <f t="shared" si="9"/>
        <v>0</v>
      </c>
      <c r="AE25" s="111">
        <f t="shared" si="38"/>
        <v>0</v>
      </c>
      <c r="AF25" s="113">
        <f t="shared" si="11"/>
        <v>0</v>
      </c>
      <c r="AG25" s="113">
        <f t="shared" si="12"/>
        <v>0</v>
      </c>
      <c r="AH25" s="114">
        <f t="shared" ref="AH25:AH88" si="42">IF(AND(AV25="Quên check in",AZ25="Đồng ý"),IFERROR(HOUR(N25-T25+R25-P25)+MINUTE(N25-T25+R25-P25)/60+SECOND(N25-T25+R25-P25)/3600,0),
IF(AND(AW25="Quên check in",AZ25="Đồng ý"),IFERROR(HOUR(N25-L25+R25-V25)+MINUTE(N25-L25+R25-V25)/60+SECOND(N25-L25+R25-V25)/3600,0),
IF(AND(AX25="Quên check out",AZ25="Đồng ý"),IFERROR(HOUR(U25-L25+R25-P25)+MINUTE(U25-L25+R25-P25)/60+SECOND(U25-L25+R25-P25)/3600,0),
IF(AND(AY25="Quên check out",AZ25="Đồng ý"),IFERROR(HOUR(N25-L25+W25-P25)+MINUTE(N25-L25+W25-P25)/60+SECOND(N25-L25+W25-P25)/3600,0),
IF(AND(LEN(AV25&amp;AW25&amp;AX25&amp;AY25)&gt;0,LEN(AV25&amp;AW25&amp;AX25&amp;AY25)&lt;15),4,
IF(LEN(AV25&amp;AW25&amp;AX25&amp;AY25)&gt;15,0,
IFERROR(HOUR(N25-L25+R25-P25)+MINUTE(N25-L25+R25-P25)/60+SECOND(N25-L25+R25-P25)/3600,0)))))))</f>
        <v>9.8369444444444447</v>
      </c>
      <c r="AI25" s="102" t="str">
        <f t="shared" si="14"/>
        <v>X:8</v>
      </c>
      <c r="AJ25" s="102" t="str">
        <f t="shared" si="15"/>
        <v>NV12343771</v>
      </c>
      <c r="AK25" s="102" t="str">
        <f>IF(OR(J25&lt;D25,J25&gt;F25),"",
IFERROR(INDEX('3. Đơn xin nghỉ'!$K:$K,MATCH('4. Tổng hợp dữ liệu'!AJ25,'3. Đơn xin nghỉ'!$I:$I,0),1),
IF(AND(AU25="Không CC",I25&lt;&gt;1),"Ro:8","")))</f>
        <v/>
      </c>
      <c r="AL25" s="102" t="str">
        <f t="shared" si="16"/>
        <v/>
      </c>
      <c r="AM25" s="102" t="str">
        <f t="shared" si="39"/>
        <v>X:8</v>
      </c>
      <c r="AN25" s="102" t="s">
        <v>92</v>
      </c>
      <c r="AO25" s="102"/>
      <c r="AP25" s="115">
        <f>IFERROR(VLOOKUP(AN25,'Quy đổi công'!A:D,3,0),0)</f>
        <v>1</v>
      </c>
      <c r="AQ25" s="115">
        <f>IFERROR(VLOOKUP(AN25,'Quy đổi công'!A:D,4,0),0)</f>
        <v>0</v>
      </c>
      <c r="AR25" s="115">
        <f t="shared" si="17"/>
        <v>0</v>
      </c>
      <c r="AS25" s="115">
        <f t="shared" si="40"/>
        <v>1</v>
      </c>
      <c r="AT25" s="115">
        <f t="shared" si="41"/>
        <v>0</v>
      </c>
      <c r="AU25" s="102" t="str">
        <f t="shared" si="23"/>
        <v/>
      </c>
      <c r="AV25" s="102" t="str">
        <f t="shared" si="24"/>
        <v/>
      </c>
      <c r="AW25" s="102" t="str">
        <f t="shared" si="25"/>
        <v/>
      </c>
      <c r="AX25" s="102" t="str">
        <f t="shared" si="26"/>
        <v/>
      </c>
      <c r="AY25" s="102" t="str">
        <f t="shared" si="27"/>
        <v/>
      </c>
      <c r="AZ25" s="102"/>
      <c r="BA25" s="102">
        <f>IF(AV25&lt;&gt;0,COUNTIFS($A$7:A25,A25,$AV$7:AV25,"Quên check in"))
+IF(AW25&lt;&gt;0,COUNTIFS($A$7:A25,A25,$AW$7:AW25,"Quên check in"))
+IF(AX25&lt;&gt;0,COUNTIFS($A$7:A25,A25,$AX$7:AX25,"Quên check out"))
+IF(AY25&lt;&gt;0,COUNTIFS($A$7:A25,A25,$AY$7:AY25,"Quên check out"))</f>
        <v>0</v>
      </c>
      <c r="BB25" s="143">
        <f t="shared" si="28"/>
        <v>0</v>
      </c>
    </row>
    <row r="26" spans="1:54" s="83" customFormat="1" ht="14.1" customHeight="1" x14ac:dyDescent="0.3">
      <c r="A26" s="103" t="s">
        <v>13</v>
      </c>
      <c r="B26" s="104" t="s">
        <v>22</v>
      </c>
      <c r="C26" s="105">
        <v>4700000</v>
      </c>
      <c r="D26" s="106">
        <v>43531</v>
      </c>
      <c r="E26" s="107">
        <v>43647</v>
      </c>
      <c r="F26" s="107">
        <v>73415</v>
      </c>
      <c r="G26" s="105">
        <v>26</v>
      </c>
      <c r="H26" s="105">
        <f t="shared" si="29"/>
        <v>7</v>
      </c>
      <c r="I26" s="105"/>
      <c r="J26" s="108">
        <v>43771</v>
      </c>
      <c r="K26" s="108" t="str">
        <f t="shared" si="30"/>
        <v>NV12643771VàoSáng</v>
      </c>
      <c r="L26" s="102" t="str">
        <f>IFERROR(VLOOKUP(K26,'1. Vân tay'!$F:$G,2,0),0)</f>
        <v>07:53:49</v>
      </c>
      <c r="M26" s="108" t="str">
        <f t="shared" si="31"/>
        <v>NV12643771RaSáng</v>
      </c>
      <c r="N26" s="102">
        <f>IFERROR(VLOOKUP(M26,'1. Vân tay'!$F:$G,2,0),0)</f>
        <v>0</v>
      </c>
      <c r="O26" s="108" t="str">
        <f t="shared" si="32"/>
        <v>NV12643771VàoChiều</v>
      </c>
      <c r="P26" s="102">
        <f>IFERROR(VLOOKUP(O26,'1. Vân tay'!$F:$G,2,0),0)</f>
        <v>0</v>
      </c>
      <c r="Q26" s="108" t="str">
        <f t="shared" si="33"/>
        <v>NV12643771RaChiều</v>
      </c>
      <c r="R26" s="102" t="str">
        <f>IFERROR(VLOOKUP(Q26,'1. Vân tay'!$F:$G,2,0),0)</f>
        <v>17:32:02</v>
      </c>
      <c r="S26" s="102">
        <f t="shared" si="34"/>
        <v>0</v>
      </c>
      <c r="T26" s="109">
        <v>0.33333333333333331</v>
      </c>
      <c r="U26" s="109">
        <v>0.5</v>
      </c>
      <c r="V26" s="109">
        <v>0.5625</v>
      </c>
      <c r="W26" s="109">
        <v>0.72916666666666663</v>
      </c>
      <c r="X26" s="102">
        <f>HDSD!$F$4</f>
        <v>5</v>
      </c>
      <c r="Y26" s="102">
        <f>SUMIFS('2. Đi muộn về sớm'!$K:$K,
'2. Đi muộn về sớm'!$B:$B,$A26,
'2. Đi muộn về sớm'!$D:$D,$J26)</f>
        <v>0</v>
      </c>
      <c r="Z26" s="110">
        <f t="shared" si="35"/>
        <v>0</v>
      </c>
      <c r="AA26" s="110">
        <f t="shared" si="36"/>
        <v>0</v>
      </c>
      <c r="AB26" s="111">
        <f t="shared" si="37"/>
        <v>0</v>
      </c>
      <c r="AC26" s="112">
        <f t="shared" si="8"/>
        <v>0</v>
      </c>
      <c r="AD26" s="113">
        <f t="shared" si="9"/>
        <v>0</v>
      </c>
      <c r="AE26" s="111">
        <f t="shared" si="38"/>
        <v>0</v>
      </c>
      <c r="AF26" s="113">
        <f t="shared" si="11"/>
        <v>0</v>
      </c>
      <c r="AG26" s="113">
        <f t="shared" si="12"/>
        <v>0</v>
      </c>
      <c r="AH26" s="114">
        <f t="shared" si="42"/>
        <v>9.6369444444444436</v>
      </c>
      <c r="AI26" s="102" t="str">
        <f t="shared" si="14"/>
        <v>X:8</v>
      </c>
      <c r="AJ26" s="102" t="str">
        <f t="shared" si="15"/>
        <v>NV12643771</v>
      </c>
      <c r="AK26" s="102" t="str">
        <f>IF(OR(J26&lt;D26,J26&gt;F26),"",
IFERROR(INDEX('3. Đơn xin nghỉ'!$K:$K,MATCH('4. Tổng hợp dữ liệu'!AJ26,'3. Đơn xin nghỉ'!$I:$I,0),1),
IF(AND(AU26="Không CC",I26&lt;&gt;1),"Ro:8","")))</f>
        <v/>
      </c>
      <c r="AL26" s="102" t="str">
        <f t="shared" si="16"/>
        <v/>
      </c>
      <c r="AM26" s="102" t="str">
        <f t="shared" si="39"/>
        <v>X:8</v>
      </c>
      <c r="AN26" s="102" t="s">
        <v>92</v>
      </c>
      <c r="AO26" s="102"/>
      <c r="AP26" s="115">
        <f>IFERROR(VLOOKUP(AN26,'Quy đổi công'!A:D,3,0),0)</f>
        <v>1</v>
      </c>
      <c r="AQ26" s="115">
        <f>IFERROR(VLOOKUP(AN26,'Quy đổi công'!A:D,4,0),0)</f>
        <v>0</v>
      </c>
      <c r="AR26" s="115">
        <f t="shared" si="17"/>
        <v>0</v>
      </c>
      <c r="AS26" s="115">
        <f t="shared" si="40"/>
        <v>1</v>
      </c>
      <c r="AT26" s="115">
        <f t="shared" si="41"/>
        <v>0</v>
      </c>
      <c r="AU26" s="102" t="str">
        <f t="shared" si="23"/>
        <v/>
      </c>
      <c r="AV26" s="102" t="str">
        <f t="shared" si="24"/>
        <v/>
      </c>
      <c r="AW26" s="102" t="str">
        <f t="shared" si="25"/>
        <v/>
      </c>
      <c r="AX26" s="102" t="str">
        <f t="shared" si="26"/>
        <v/>
      </c>
      <c r="AY26" s="102" t="str">
        <f t="shared" si="27"/>
        <v/>
      </c>
      <c r="AZ26" s="102"/>
      <c r="BA26" s="102">
        <f>IF(AV26&lt;&gt;0,COUNTIFS($A$7:A26,A26,$AV$7:AV26,"Quên check in"))
+IF(AW26&lt;&gt;0,COUNTIFS($A$7:A26,A26,$AW$7:AW26,"Quên check in"))
+IF(AX26&lt;&gt;0,COUNTIFS($A$7:A26,A26,$AX$7:AX26,"Quên check out"))
+IF(AY26&lt;&gt;0,COUNTIFS($A$7:A26,A26,$AY$7:AY26,"Quên check out"))</f>
        <v>0</v>
      </c>
      <c r="BB26" s="143">
        <f t="shared" si="28"/>
        <v>0</v>
      </c>
    </row>
    <row r="27" spans="1:54" s="83" customFormat="1" ht="14.1" customHeight="1" x14ac:dyDescent="0.3">
      <c r="A27" s="103" t="s">
        <v>4</v>
      </c>
      <c r="B27" s="104" t="s">
        <v>14</v>
      </c>
      <c r="C27" s="105">
        <v>4700000</v>
      </c>
      <c r="D27" s="106">
        <v>43388</v>
      </c>
      <c r="E27" s="107">
        <v>43525</v>
      </c>
      <c r="F27" s="107">
        <v>73415</v>
      </c>
      <c r="G27" s="105">
        <v>26</v>
      </c>
      <c r="H27" s="105">
        <f t="shared" ref="H27:H36" si="43">WEEKDAY(J27,1)</f>
        <v>1</v>
      </c>
      <c r="I27" s="105">
        <v>1</v>
      </c>
      <c r="J27" s="108">
        <v>43772</v>
      </c>
      <c r="K27" s="108" t="str">
        <f t="shared" ref="K27:K36" si="44">$A27&amp;$J27&amp;"Vào"&amp;"Sáng"</f>
        <v>NV10143772VàoSáng</v>
      </c>
      <c r="L27" s="102">
        <f>IFERROR(VLOOKUP(K27,'1. Vân tay'!$F:$G,2,0),0)</f>
        <v>0</v>
      </c>
      <c r="M27" s="108" t="str">
        <f t="shared" ref="M27:M36" si="45">$A27&amp;$J27&amp;"Ra"&amp;"Sáng"</f>
        <v>NV10143772RaSáng</v>
      </c>
      <c r="N27" s="102">
        <f>IFERROR(VLOOKUP(M27,'1. Vân tay'!$F:$G,2,0),0)</f>
        <v>0</v>
      </c>
      <c r="O27" s="108" t="str">
        <f t="shared" ref="O27:O36" si="46">$A27&amp;$J27&amp;"Vào"&amp;"Chiều"</f>
        <v>NV10143772VàoChiều</v>
      </c>
      <c r="P27" s="102">
        <f>IFERROR(VLOOKUP(O27,'1. Vân tay'!$F:$G,2,0),0)</f>
        <v>0</v>
      </c>
      <c r="Q27" s="108" t="str">
        <f t="shared" ref="Q27:Q36" si="47">$A27&amp;$J27&amp;"Ra"&amp;"Chiều"</f>
        <v>NV10143772RaChiều</v>
      </c>
      <c r="R27" s="102">
        <f>IFERROR(VLOOKUP(Q27,'1. Vân tay'!$F:$G,2,0),0)</f>
        <v>0</v>
      </c>
      <c r="S27" s="102">
        <f t="shared" ref="S27:S36" si="48">IF(OR(
(AND(L27&lt;&gt;0,P27&lt;&gt;0)),
(AND(N27&lt;&gt;0,R27&lt;&gt;0))),"Kiểm tra",0)</f>
        <v>0</v>
      </c>
      <c r="T27" s="109">
        <v>0.33333333333333331</v>
      </c>
      <c r="U27" s="109">
        <v>0.5</v>
      </c>
      <c r="V27" s="109">
        <v>0.5625</v>
      </c>
      <c r="W27" s="109">
        <v>0.72916666666666663</v>
      </c>
      <c r="X27" s="102">
        <f>HDSD!$F$4</f>
        <v>5</v>
      </c>
      <c r="Y27" s="102">
        <f>SUMIFS('2. Đi muộn về sớm'!$K:$K,
'2. Đi muộn về sớm'!$B:$B,$A27,
'2. Đi muộn về sớm'!$D:$D,$J27)</f>
        <v>0</v>
      </c>
      <c r="Z27" s="110">
        <f t="shared" ref="Z27:Z36" si="49">IF(L27=0,0,IFERROR((HOUR(L27-T27)*60+MINUTE(L27-T27)+SECOND(L27-T27)/60),0))
+IF(N27=0,0, IFERROR((HOUR(U27-N27)*60+MINUTE(U27-N27)+SECOND(U27-N27)/60),0))
+IF(P27=0,0, IFERROR((HOUR(P27-V27)*60+MINUTE(P27-V27)+SECOND(P27-V27)/60),0))
+IF(R27=0,0, IFERROR((HOUR(W27-R27)*60+MINUTE(W27-R27)+SECOND(W27-R27)/60),0))</f>
        <v>0</v>
      </c>
      <c r="AA27" s="110">
        <f t="shared" ref="AA27:AA36" si="50">IF(L27=0,0,IFERROR((HOUR(L27-"09:00:00")*60+MINUTE(L27-"09:00:00")+SECOND(L27-"09:00:00")/60),0))
+IF(N27=0,0, IFERROR((HOUR(U27-N27)*60+MINUTE(U27-N27)+SECOND(U27-N27)/60),0))
+IF(P27=0,0, IFERROR((HOUR(P27-V27)*60+MINUTE(P27-V27)+SECOND(P27-V27)/60),0))
+IF(R27=0,0, IFERROR((HOUR("16:30:00"-R27)*60+MINUTE("16:30:00"-R27)+SECOND("16:30:00"-R27)/60),0))</f>
        <v>0</v>
      </c>
      <c r="AB27" s="111">
        <f t="shared" ref="AB27:AB36" si="51">Z27-AA27</f>
        <v>0</v>
      </c>
      <c r="AC27" s="112">
        <f t="shared" si="8"/>
        <v>0</v>
      </c>
      <c r="AD27" s="113">
        <f t="shared" si="9"/>
        <v>0</v>
      </c>
      <c r="AE27" s="111">
        <f t="shared" ref="AE27:AE36" si="52">AA27/60/8</f>
        <v>0</v>
      </c>
      <c r="AF27" s="113">
        <f t="shared" si="11"/>
        <v>0</v>
      </c>
      <c r="AG27" s="113">
        <f t="shared" si="12"/>
        <v>0</v>
      </c>
      <c r="AH27" s="114">
        <f t="shared" si="42"/>
        <v>0</v>
      </c>
      <c r="AI27" s="102" t="str">
        <f t="shared" si="14"/>
        <v/>
      </c>
      <c r="AJ27" s="102" t="str">
        <f t="shared" si="15"/>
        <v>NV10143772</v>
      </c>
      <c r="AK27" s="102" t="str">
        <f>IF(OR(J27&lt;D27,J27&gt;F27),"",
IFERROR(INDEX('3. Đơn xin nghỉ'!$K:$K,MATCH('4. Tổng hợp dữ liệu'!AJ27,'3. Đơn xin nghỉ'!$I:$I,0),1),
IF(AND(AU27="Không CC",I27&lt;&gt;1),"Ro:8","")))</f>
        <v/>
      </c>
      <c r="AL27" s="102" t="str">
        <f t="shared" si="16"/>
        <v>OFF</v>
      </c>
      <c r="AM27" s="102" t="str">
        <f t="shared" ref="AM27:AM36" si="53">IF(OR(AI27="",AK27=""),AI27&amp;AK27,AI27&amp;","&amp;AK27)&amp;AL27</f>
        <v>OFF</v>
      </c>
      <c r="AN27" s="102" t="s">
        <v>93</v>
      </c>
      <c r="AO27" s="102"/>
      <c r="AP27" s="115">
        <f>IFERROR(VLOOKUP(AN27,'Quy đổi công'!A:D,3,0),0)</f>
        <v>0</v>
      </c>
      <c r="AQ27" s="115">
        <f>IFERROR(VLOOKUP(AN27,'Quy đổi công'!A:D,4,0),0)</f>
        <v>0</v>
      </c>
      <c r="AR27" s="115">
        <f t="shared" si="17"/>
        <v>0</v>
      </c>
      <c r="AS27" s="115">
        <f t="shared" ref="AS27:AS36" si="54">AP27-AR27</f>
        <v>0</v>
      </c>
      <c r="AT27" s="115">
        <f t="shared" ref="AT27:AT36" si="55">IF(AN27="P8",1)
+IF(OR(AN27="X:4,P:4",AN27="P:4,Rv:4",AN27="P:4,Ro:4"),1/2)</f>
        <v>0</v>
      </c>
      <c r="AU27" s="102" t="str">
        <f t="shared" si="23"/>
        <v>Không CC</v>
      </c>
      <c r="AV27" s="102" t="str">
        <f t="shared" si="24"/>
        <v/>
      </c>
      <c r="AW27" s="102" t="str">
        <f t="shared" si="25"/>
        <v/>
      </c>
      <c r="AX27" s="102" t="str">
        <f t="shared" si="26"/>
        <v/>
      </c>
      <c r="AY27" s="102" t="str">
        <f t="shared" si="27"/>
        <v/>
      </c>
      <c r="AZ27" s="102"/>
      <c r="BA27" s="102">
        <f>IF(AV27&lt;&gt;0,COUNTIFS($A$7:A27,A27,$AV$7:AV27,"Quên check in"))
+IF(AW27&lt;&gt;0,COUNTIFS($A$7:A27,A27,$AW$7:AW27,"Quên check in"))
+IF(AX27&lt;&gt;0,COUNTIFS($A$7:A27,A27,$AX$7:AX27,"Quên check out"))
+IF(AY27&lt;&gt;0,COUNTIFS($A$7:A27,A27,$AY$7:AY27,"Quên check out"))</f>
        <v>0</v>
      </c>
      <c r="BB27" s="143">
        <f t="shared" si="28"/>
        <v>0</v>
      </c>
    </row>
    <row r="28" spans="1:54" s="83" customFormat="1" ht="14.1" customHeight="1" x14ac:dyDescent="0.3">
      <c r="A28" s="103" t="s">
        <v>5</v>
      </c>
      <c r="B28" s="104" t="s">
        <v>28</v>
      </c>
      <c r="C28" s="105">
        <v>10000000</v>
      </c>
      <c r="D28" s="106">
        <v>43409</v>
      </c>
      <c r="E28" s="107">
        <v>43678</v>
      </c>
      <c r="F28" s="107">
        <v>73415</v>
      </c>
      <c r="G28" s="105">
        <v>26</v>
      </c>
      <c r="H28" s="105">
        <f t="shared" si="43"/>
        <v>1</v>
      </c>
      <c r="I28" s="105">
        <v>1</v>
      </c>
      <c r="J28" s="108">
        <v>43772</v>
      </c>
      <c r="K28" s="108" t="str">
        <f t="shared" si="44"/>
        <v>NV10743772VàoSáng</v>
      </c>
      <c r="L28" s="102">
        <f>IFERROR(VLOOKUP(K28,'1. Vân tay'!$F:$G,2,0),0)</f>
        <v>0</v>
      </c>
      <c r="M28" s="108" t="str">
        <f t="shared" si="45"/>
        <v>NV10743772RaSáng</v>
      </c>
      <c r="N28" s="102">
        <f>IFERROR(VLOOKUP(M28,'1. Vân tay'!$F:$G,2,0),0)</f>
        <v>0</v>
      </c>
      <c r="O28" s="108" t="str">
        <f t="shared" si="46"/>
        <v>NV10743772VàoChiều</v>
      </c>
      <c r="P28" s="102">
        <f>IFERROR(VLOOKUP(O28,'1. Vân tay'!$F:$G,2,0),0)</f>
        <v>0</v>
      </c>
      <c r="Q28" s="108" t="str">
        <f t="shared" si="47"/>
        <v>NV10743772RaChiều</v>
      </c>
      <c r="R28" s="102">
        <f>IFERROR(VLOOKUP(Q28,'1. Vân tay'!$F:$G,2,0),0)</f>
        <v>0</v>
      </c>
      <c r="S28" s="102">
        <f t="shared" si="48"/>
        <v>0</v>
      </c>
      <c r="T28" s="109">
        <v>0.33333333333333331</v>
      </c>
      <c r="U28" s="109">
        <v>0.5</v>
      </c>
      <c r="V28" s="109">
        <v>0.5625</v>
      </c>
      <c r="W28" s="109">
        <v>0.72916666666666663</v>
      </c>
      <c r="X28" s="102">
        <f>HDSD!$F$4</f>
        <v>5</v>
      </c>
      <c r="Y28" s="102">
        <f>SUMIFS('2. Đi muộn về sớm'!$K:$K,
'2. Đi muộn về sớm'!$B:$B,$A28,
'2. Đi muộn về sớm'!$D:$D,$J28)</f>
        <v>0</v>
      </c>
      <c r="Z28" s="110">
        <f t="shared" si="49"/>
        <v>0</v>
      </c>
      <c r="AA28" s="110">
        <f t="shared" si="50"/>
        <v>0</v>
      </c>
      <c r="AB28" s="111">
        <f t="shared" si="51"/>
        <v>0</v>
      </c>
      <c r="AC28" s="112">
        <f t="shared" si="8"/>
        <v>0</v>
      </c>
      <c r="AD28" s="113">
        <f t="shared" si="9"/>
        <v>0</v>
      </c>
      <c r="AE28" s="111">
        <f t="shared" si="52"/>
        <v>0</v>
      </c>
      <c r="AF28" s="113">
        <f t="shared" si="11"/>
        <v>0</v>
      </c>
      <c r="AG28" s="113">
        <f t="shared" si="12"/>
        <v>0</v>
      </c>
      <c r="AH28" s="114">
        <f t="shared" si="42"/>
        <v>0</v>
      </c>
      <c r="AI28" s="102" t="str">
        <f t="shared" si="14"/>
        <v/>
      </c>
      <c r="AJ28" s="102" t="str">
        <f t="shared" si="15"/>
        <v>NV10743772</v>
      </c>
      <c r="AK28" s="102" t="str">
        <f>IF(OR(J28&lt;D28,J28&gt;F28),"",
IFERROR(INDEX('3. Đơn xin nghỉ'!$K:$K,MATCH('4. Tổng hợp dữ liệu'!AJ28,'3. Đơn xin nghỉ'!$I:$I,0),1),
IF(AND(AU28="Không CC",I28&lt;&gt;1),"Ro:8","")))</f>
        <v/>
      </c>
      <c r="AL28" s="102" t="str">
        <f t="shared" si="16"/>
        <v>OFF</v>
      </c>
      <c r="AM28" s="102" t="str">
        <f t="shared" si="53"/>
        <v>OFF</v>
      </c>
      <c r="AN28" s="102" t="s">
        <v>93</v>
      </c>
      <c r="AO28" s="102"/>
      <c r="AP28" s="115">
        <f>IFERROR(VLOOKUP(AN28,'Quy đổi công'!A:D,3,0),0)</f>
        <v>0</v>
      </c>
      <c r="AQ28" s="115">
        <f>IFERROR(VLOOKUP(AN28,'Quy đổi công'!A:D,4,0),0)</f>
        <v>0</v>
      </c>
      <c r="AR28" s="115">
        <f t="shared" si="17"/>
        <v>0</v>
      </c>
      <c r="AS28" s="115">
        <f t="shared" si="54"/>
        <v>0</v>
      </c>
      <c r="AT28" s="115">
        <f t="shared" si="55"/>
        <v>0</v>
      </c>
      <c r="AU28" s="102" t="str">
        <f t="shared" si="23"/>
        <v>Không CC</v>
      </c>
      <c r="AV28" s="102" t="str">
        <f t="shared" si="24"/>
        <v/>
      </c>
      <c r="AW28" s="102" t="str">
        <f t="shared" si="25"/>
        <v/>
      </c>
      <c r="AX28" s="102" t="str">
        <f t="shared" si="26"/>
        <v/>
      </c>
      <c r="AY28" s="102" t="str">
        <f t="shared" si="27"/>
        <v/>
      </c>
      <c r="AZ28" s="102"/>
      <c r="BA28" s="102">
        <f>IF(AV28&lt;&gt;0,COUNTIFS($A$7:A28,A28,$AV$7:AV28,"Quên check in"))
+IF(AW28&lt;&gt;0,COUNTIFS($A$7:A28,A28,$AW$7:AW28,"Quên check in"))
+IF(AX28&lt;&gt;0,COUNTIFS($A$7:A28,A28,$AX$7:AX28,"Quên check out"))
+IF(AY28&lt;&gt;0,COUNTIFS($A$7:A28,A28,$AY$7:AY28,"Quên check out"))</f>
        <v>0</v>
      </c>
      <c r="BB28" s="143">
        <f t="shared" si="28"/>
        <v>0</v>
      </c>
    </row>
    <row r="29" spans="1:54" s="83" customFormat="1" ht="14.1" customHeight="1" x14ac:dyDescent="0.3">
      <c r="A29" s="103" t="s">
        <v>6</v>
      </c>
      <c r="B29" s="104" t="s">
        <v>15</v>
      </c>
      <c r="C29" s="105">
        <v>4700000</v>
      </c>
      <c r="D29" s="106">
        <v>43409</v>
      </c>
      <c r="E29" s="107">
        <v>43617</v>
      </c>
      <c r="F29" s="107">
        <v>73415</v>
      </c>
      <c r="G29" s="105">
        <v>26</v>
      </c>
      <c r="H29" s="105">
        <f t="shared" si="43"/>
        <v>1</v>
      </c>
      <c r="I29" s="105">
        <v>1</v>
      </c>
      <c r="J29" s="108">
        <v>43772</v>
      </c>
      <c r="K29" s="108" t="str">
        <f t="shared" si="44"/>
        <v>NV10843772VàoSáng</v>
      </c>
      <c r="L29" s="102">
        <f>IFERROR(VLOOKUP(K29,'1. Vân tay'!$F:$G,2,0),0)</f>
        <v>0</v>
      </c>
      <c r="M29" s="108" t="str">
        <f t="shared" si="45"/>
        <v>NV10843772RaSáng</v>
      </c>
      <c r="N29" s="102">
        <f>IFERROR(VLOOKUP(M29,'1. Vân tay'!$F:$G,2,0),0)</f>
        <v>0</v>
      </c>
      <c r="O29" s="108" t="str">
        <f t="shared" si="46"/>
        <v>NV10843772VàoChiều</v>
      </c>
      <c r="P29" s="102">
        <f>IFERROR(VLOOKUP(O29,'1. Vân tay'!$F:$G,2,0),0)</f>
        <v>0</v>
      </c>
      <c r="Q29" s="108" t="str">
        <f t="shared" si="47"/>
        <v>NV10843772RaChiều</v>
      </c>
      <c r="R29" s="102">
        <f>IFERROR(VLOOKUP(Q29,'1. Vân tay'!$F:$G,2,0),0)</f>
        <v>0</v>
      </c>
      <c r="S29" s="102">
        <f t="shared" si="48"/>
        <v>0</v>
      </c>
      <c r="T29" s="109">
        <v>0.33333333333333331</v>
      </c>
      <c r="U29" s="109">
        <v>0.5</v>
      </c>
      <c r="V29" s="109">
        <v>0.5625</v>
      </c>
      <c r="W29" s="109">
        <v>0.72916666666666663</v>
      </c>
      <c r="X29" s="102">
        <f>HDSD!$F$4</f>
        <v>5</v>
      </c>
      <c r="Y29" s="102">
        <f>SUMIFS('2. Đi muộn về sớm'!$K:$K,
'2. Đi muộn về sớm'!$B:$B,$A29,
'2. Đi muộn về sớm'!$D:$D,$J29)</f>
        <v>0</v>
      </c>
      <c r="Z29" s="110">
        <f t="shared" si="49"/>
        <v>0</v>
      </c>
      <c r="AA29" s="110">
        <f t="shared" si="50"/>
        <v>0</v>
      </c>
      <c r="AB29" s="111">
        <f t="shared" si="51"/>
        <v>0</v>
      </c>
      <c r="AC29" s="112">
        <f t="shared" si="8"/>
        <v>0</v>
      </c>
      <c r="AD29" s="113">
        <f t="shared" si="9"/>
        <v>0</v>
      </c>
      <c r="AE29" s="111">
        <f t="shared" si="52"/>
        <v>0</v>
      </c>
      <c r="AF29" s="113">
        <f t="shared" si="11"/>
        <v>0</v>
      </c>
      <c r="AG29" s="113">
        <f t="shared" si="12"/>
        <v>0</v>
      </c>
      <c r="AH29" s="114">
        <f t="shared" si="42"/>
        <v>0</v>
      </c>
      <c r="AI29" s="102" t="str">
        <f t="shared" si="14"/>
        <v/>
      </c>
      <c r="AJ29" s="102" t="str">
        <f t="shared" si="15"/>
        <v>NV10843772</v>
      </c>
      <c r="AK29" s="102" t="str">
        <f>IF(OR(J29&lt;D29,J29&gt;F29),"",
IFERROR(INDEX('3. Đơn xin nghỉ'!$K:$K,MATCH('4. Tổng hợp dữ liệu'!AJ29,'3. Đơn xin nghỉ'!$I:$I,0),1),
IF(AND(AU29="Không CC",I29&lt;&gt;1),"Ro:8","")))</f>
        <v/>
      </c>
      <c r="AL29" s="102" t="str">
        <f t="shared" si="16"/>
        <v>OFF</v>
      </c>
      <c r="AM29" s="102" t="str">
        <f t="shared" si="53"/>
        <v>OFF</v>
      </c>
      <c r="AN29" s="102" t="s">
        <v>93</v>
      </c>
      <c r="AO29" s="102"/>
      <c r="AP29" s="115">
        <f>IFERROR(VLOOKUP(AN29,'Quy đổi công'!A:D,3,0),0)</f>
        <v>0</v>
      </c>
      <c r="AQ29" s="115">
        <f>IFERROR(VLOOKUP(AN29,'Quy đổi công'!A:D,4,0),0)</f>
        <v>0</v>
      </c>
      <c r="AR29" s="115">
        <f t="shared" si="17"/>
        <v>0</v>
      </c>
      <c r="AS29" s="115">
        <f t="shared" si="54"/>
        <v>0</v>
      </c>
      <c r="AT29" s="115">
        <f t="shared" si="55"/>
        <v>0</v>
      </c>
      <c r="AU29" s="102" t="str">
        <f t="shared" si="23"/>
        <v>Không CC</v>
      </c>
      <c r="AV29" s="102" t="str">
        <f t="shared" si="24"/>
        <v/>
      </c>
      <c r="AW29" s="102" t="str">
        <f t="shared" si="25"/>
        <v/>
      </c>
      <c r="AX29" s="102" t="str">
        <f t="shared" si="26"/>
        <v/>
      </c>
      <c r="AY29" s="102" t="str">
        <f t="shared" si="27"/>
        <v/>
      </c>
      <c r="AZ29" s="102"/>
      <c r="BA29" s="102">
        <f>IF(AV29&lt;&gt;0,COUNTIFS($A$7:A29,A29,$AV$7:AV29,"Quên check in"))
+IF(AW29&lt;&gt;0,COUNTIFS($A$7:A29,A29,$AW$7:AW29,"Quên check in"))
+IF(AX29&lt;&gt;0,COUNTIFS($A$7:A29,A29,$AX$7:AX29,"Quên check out"))
+IF(AY29&lt;&gt;0,COUNTIFS($A$7:A29,A29,$AY$7:AY29,"Quên check out"))</f>
        <v>0</v>
      </c>
      <c r="BB29" s="143">
        <f t="shared" si="28"/>
        <v>0</v>
      </c>
    </row>
    <row r="30" spans="1:54" s="83" customFormat="1" ht="14.1" customHeight="1" x14ac:dyDescent="0.3">
      <c r="A30" s="103" t="s">
        <v>7</v>
      </c>
      <c r="B30" s="104" t="s">
        <v>16</v>
      </c>
      <c r="C30" s="105">
        <v>5000000</v>
      </c>
      <c r="D30" s="106">
        <v>43416</v>
      </c>
      <c r="E30" s="107">
        <v>43617</v>
      </c>
      <c r="F30" s="107">
        <v>73415</v>
      </c>
      <c r="G30" s="105">
        <v>26</v>
      </c>
      <c r="H30" s="105">
        <f t="shared" si="43"/>
        <v>1</v>
      </c>
      <c r="I30" s="105">
        <v>1</v>
      </c>
      <c r="J30" s="108">
        <v>43772</v>
      </c>
      <c r="K30" s="108" t="str">
        <f t="shared" si="44"/>
        <v>NV10943772VàoSáng</v>
      </c>
      <c r="L30" s="102">
        <f>IFERROR(VLOOKUP(K30,'1. Vân tay'!$F:$G,2,0),0)</f>
        <v>0</v>
      </c>
      <c r="M30" s="108" t="str">
        <f t="shared" si="45"/>
        <v>NV10943772RaSáng</v>
      </c>
      <c r="N30" s="102">
        <f>IFERROR(VLOOKUP(M30,'1. Vân tay'!$F:$G,2,0),0)</f>
        <v>0</v>
      </c>
      <c r="O30" s="108" t="str">
        <f t="shared" si="46"/>
        <v>NV10943772VàoChiều</v>
      </c>
      <c r="P30" s="102">
        <f>IFERROR(VLOOKUP(O30,'1. Vân tay'!$F:$G,2,0),0)</f>
        <v>0</v>
      </c>
      <c r="Q30" s="108" t="str">
        <f t="shared" si="47"/>
        <v>NV10943772RaChiều</v>
      </c>
      <c r="R30" s="102">
        <f>IFERROR(VLOOKUP(Q30,'1. Vân tay'!$F:$G,2,0),0)</f>
        <v>0</v>
      </c>
      <c r="S30" s="102">
        <f t="shared" si="48"/>
        <v>0</v>
      </c>
      <c r="T30" s="109">
        <v>0.33333333333333331</v>
      </c>
      <c r="U30" s="109">
        <v>0.5</v>
      </c>
      <c r="V30" s="109">
        <v>0.5625</v>
      </c>
      <c r="W30" s="109">
        <v>0.72916666666666663</v>
      </c>
      <c r="X30" s="102">
        <f>HDSD!$F$4</f>
        <v>5</v>
      </c>
      <c r="Y30" s="102">
        <f>SUMIFS('2. Đi muộn về sớm'!$K:$K,
'2. Đi muộn về sớm'!$B:$B,$A30,
'2. Đi muộn về sớm'!$D:$D,$J30)</f>
        <v>0</v>
      </c>
      <c r="Z30" s="110">
        <f t="shared" si="49"/>
        <v>0</v>
      </c>
      <c r="AA30" s="110">
        <f t="shared" si="50"/>
        <v>0</v>
      </c>
      <c r="AB30" s="111">
        <f t="shared" si="51"/>
        <v>0</v>
      </c>
      <c r="AC30" s="112">
        <f t="shared" si="8"/>
        <v>0</v>
      </c>
      <c r="AD30" s="113">
        <f t="shared" si="9"/>
        <v>0</v>
      </c>
      <c r="AE30" s="111">
        <f t="shared" si="52"/>
        <v>0</v>
      </c>
      <c r="AF30" s="113">
        <f t="shared" si="11"/>
        <v>0</v>
      </c>
      <c r="AG30" s="113">
        <f t="shared" si="12"/>
        <v>0</v>
      </c>
      <c r="AH30" s="114">
        <f t="shared" si="42"/>
        <v>0</v>
      </c>
      <c r="AI30" s="102" t="str">
        <f t="shared" si="14"/>
        <v/>
      </c>
      <c r="AJ30" s="102" t="str">
        <f t="shared" si="15"/>
        <v>NV10943772</v>
      </c>
      <c r="AK30" s="102" t="str">
        <f>IF(OR(J30&lt;D30,J30&gt;F30),"",
IFERROR(INDEX('3. Đơn xin nghỉ'!$K:$K,MATCH('4. Tổng hợp dữ liệu'!AJ30,'3. Đơn xin nghỉ'!$I:$I,0),1),
IF(AND(AU30="Không CC",I30&lt;&gt;1),"Ro:8","")))</f>
        <v/>
      </c>
      <c r="AL30" s="102" t="str">
        <f t="shared" si="16"/>
        <v>OFF</v>
      </c>
      <c r="AM30" s="102" t="str">
        <f t="shared" si="53"/>
        <v>OFF</v>
      </c>
      <c r="AN30" s="102" t="s">
        <v>93</v>
      </c>
      <c r="AO30" s="102"/>
      <c r="AP30" s="115">
        <f>IFERROR(VLOOKUP(AN30,'Quy đổi công'!A:D,3,0),0)</f>
        <v>0</v>
      </c>
      <c r="AQ30" s="115">
        <f>IFERROR(VLOOKUP(AN30,'Quy đổi công'!A:D,4,0),0)</f>
        <v>0</v>
      </c>
      <c r="AR30" s="115">
        <f t="shared" si="17"/>
        <v>0</v>
      </c>
      <c r="AS30" s="115">
        <f t="shared" si="54"/>
        <v>0</v>
      </c>
      <c r="AT30" s="115">
        <f t="shared" si="55"/>
        <v>0</v>
      </c>
      <c r="AU30" s="102" t="str">
        <f t="shared" si="23"/>
        <v>Không CC</v>
      </c>
      <c r="AV30" s="102" t="str">
        <f t="shared" si="24"/>
        <v/>
      </c>
      <c r="AW30" s="102" t="str">
        <f t="shared" si="25"/>
        <v/>
      </c>
      <c r="AX30" s="102" t="str">
        <f t="shared" si="26"/>
        <v/>
      </c>
      <c r="AY30" s="102" t="str">
        <f t="shared" si="27"/>
        <v/>
      </c>
      <c r="AZ30" s="102"/>
      <c r="BA30" s="102">
        <f>IF(AV30&lt;&gt;0,COUNTIFS($A$7:A30,A30,$AV$7:AV30,"Quên check in"))
+IF(AW30&lt;&gt;0,COUNTIFS($A$7:A30,A30,$AW$7:AW30,"Quên check in"))
+IF(AX30&lt;&gt;0,COUNTIFS($A$7:A30,A30,$AX$7:AX30,"Quên check out"))
+IF(AY30&lt;&gt;0,COUNTIFS($A$7:A30,A30,$AY$7:AY30,"Quên check out"))</f>
        <v>0</v>
      </c>
      <c r="BB30" s="143">
        <f t="shared" si="28"/>
        <v>0</v>
      </c>
    </row>
    <row r="31" spans="1:54" s="83" customFormat="1" ht="14.1" customHeight="1" x14ac:dyDescent="0.3">
      <c r="A31" s="103" t="s">
        <v>8</v>
      </c>
      <c r="B31" s="104" t="s">
        <v>17</v>
      </c>
      <c r="C31" s="105">
        <v>5000000</v>
      </c>
      <c r="D31" s="106">
        <v>43423</v>
      </c>
      <c r="E31" s="107">
        <v>43617</v>
      </c>
      <c r="F31" s="107">
        <v>73415</v>
      </c>
      <c r="G31" s="105">
        <v>26</v>
      </c>
      <c r="H31" s="105">
        <f t="shared" si="43"/>
        <v>1</v>
      </c>
      <c r="I31" s="105">
        <v>1</v>
      </c>
      <c r="J31" s="108">
        <v>43772</v>
      </c>
      <c r="K31" s="108" t="str">
        <f t="shared" si="44"/>
        <v>NV11343772VàoSáng</v>
      </c>
      <c r="L31" s="102">
        <f>IFERROR(VLOOKUP(K31,'1. Vân tay'!$F:$G,2,0),0)</f>
        <v>0</v>
      </c>
      <c r="M31" s="108" t="str">
        <f t="shared" si="45"/>
        <v>NV11343772RaSáng</v>
      </c>
      <c r="N31" s="102">
        <f>IFERROR(VLOOKUP(M31,'1. Vân tay'!$F:$G,2,0),0)</f>
        <v>0</v>
      </c>
      <c r="O31" s="108" t="str">
        <f t="shared" si="46"/>
        <v>NV11343772VàoChiều</v>
      </c>
      <c r="P31" s="102">
        <f>IFERROR(VLOOKUP(O31,'1. Vân tay'!$F:$G,2,0),0)</f>
        <v>0</v>
      </c>
      <c r="Q31" s="108" t="str">
        <f t="shared" si="47"/>
        <v>NV11343772RaChiều</v>
      </c>
      <c r="R31" s="102">
        <f>IFERROR(VLOOKUP(Q31,'1. Vân tay'!$F:$G,2,0),0)</f>
        <v>0</v>
      </c>
      <c r="S31" s="102">
        <f t="shared" si="48"/>
        <v>0</v>
      </c>
      <c r="T31" s="109">
        <v>0.33333333333333331</v>
      </c>
      <c r="U31" s="109">
        <v>0.5</v>
      </c>
      <c r="V31" s="109">
        <v>0.5625</v>
      </c>
      <c r="W31" s="109">
        <v>0.72916666666666663</v>
      </c>
      <c r="X31" s="102">
        <f>HDSD!$F$4</f>
        <v>5</v>
      </c>
      <c r="Y31" s="102">
        <f>SUMIFS('2. Đi muộn về sớm'!$K:$K,
'2. Đi muộn về sớm'!$B:$B,$A31,
'2. Đi muộn về sớm'!$D:$D,$J31)</f>
        <v>0</v>
      </c>
      <c r="Z31" s="110">
        <f t="shared" si="49"/>
        <v>0</v>
      </c>
      <c r="AA31" s="110">
        <f t="shared" si="50"/>
        <v>0</v>
      </c>
      <c r="AB31" s="111">
        <f t="shared" si="51"/>
        <v>0</v>
      </c>
      <c r="AC31" s="112">
        <f t="shared" si="8"/>
        <v>0</v>
      </c>
      <c r="AD31" s="113">
        <f t="shared" si="9"/>
        <v>0</v>
      </c>
      <c r="AE31" s="111">
        <f t="shared" si="52"/>
        <v>0</v>
      </c>
      <c r="AF31" s="113">
        <f t="shared" si="11"/>
        <v>0</v>
      </c>
      <c r="AG31" s="113">
        <f t="shared" si="12"/>
        <v>0</v>
      </c>
      <c r="AH31" s="114">
        <f t="shared" si="42"/>
        <v>0</v>
      </c>
      <c r="AI31" s="102" t="str">
        <f t="shared" si="14"/>
        <v/>
      </c>
      <c r="AJ31" s="102" t="str">
        <f t="shared" si="15"/>
        <v>NV11343772</v>
      </c>
      <c r="AK31" s="102" t="str">
        <f>IF(OR(J31&lt;D31,J31&gt;F31),"",
IFERROR(INDEX('3. Đơn xin nghỉ'!$K:$K,MATCH('4. Tổng hợp dữ liệu'!AJ31,'3. Đơn xin nghỉ'!$I:$I,0),1),
IF(AND(AU31="Không CC",I31&lt;&gt;1),"Ro:8","")))</f>
        <v/>
      </c>
      <c r="AL31" s="102" t="str">
        <f t="shared" si="16"/>
        <v>OFF</v>
      </c>
      <c r="AM31" s="102" t="str">
        <f t="shared" si="53"/>
        <v>OFF</v>
      </c>
      <c r="AN31" s="102" t="s">
        <v>93</v>
      </c>
      <c r="AO31" s="102"/>
      <c r="AP31" s="115">
        <f>IFERROR(VLOOKUP(AN31,'Quy đổi công'!A:D,3,0),0)</f>
        <v>0</v>
      </c>
      <c r="AQ31" s="115">
        <f>IFERROR(VLOOKUP(AN31,'Quy đổi công'!A:D,4,0),0)</f>
        <v>0</v>
      </c>
      <c r="AR31" s="115">
        <f t="shared" si="17"/>
        <v>0</v>
      </c>
      <c r="AS31" s="115">
        <f t="shared" si="54"/>
        <v>0</v>
      </c>
      <c r="AT31" s="115">
        <f t="shared" si="55"/>
        <v>0</v>
      </c>
      <c r="AU31" s="102" t="str">
        <f t="shared" si="23"/>
        <v>Không CC</v>
      </c>
      <c r="AV31" s="102" t="str">
        <f t="shared" si="24"/>
        <v/>
      </c>
      <c r="AW31" s="102" t="str">
        <f t="shared" si="25"/>
        <v/>
      </c>
      <c r="AX31" s="102" t="str">
        <f t="shared" si="26"/>
        <v/>
      </c>
      <c r="AY31" s="102" t="str">
        <f t="shared" si="27"/>
        <v/>
      </c>
      <c r="AZ31" s="102"/>
      <c r="BA31" s="102">
        <f>IF(AV31&lt;&gt;0,COUNTIFS($A$7:A31,A31,$AV$7:AV31,"Quên check in"))
+IF(AW31&lt;&gt;0,COUNTIFS($A$7:A31,A31,$AW$7:AW31,"Quên check in"))
+IF(AX31&lt;&gt;0,COUNTIFS($A$7:A31,A31,$AX$7:AX31,"Quên check out"))
+IF(AY31&lt;&gt;0,COUNTIFS($A$7:A31,A31,$AY$7:AY31,"Quên check out"))</f>
        <v>0</v>
      </c>
      <c r="BB31" s="143">
        <f t="shared" si="28"/>
        <v>0</v>
      </c>
    </row>
    <row r="32" spans="1:54" s="83" customFormat="1" ht="14.1" customHeight="1" x14ac:dyDescent="0.3">
      <c r="A32" s="103" t="s">
        <v>9</v>
      </c>
      <c r="B32" s="104" t="s">
        <v>18</v>
      </c>
      <c r="C32" s="105">
        <v>4900000</v>
      </c>
      <c r="D32" s="106">
        <v>43437</v>
      </c>
      <c r="E32" s="107">
        <v>43617</v>
      </c>
      <c r="F32" s="107">
        <v>73415</v>
      </c>
      <c r="G32" s="105">
        <v>26</v>
      </c>
      <c r="H32" s="105">
        <f t="shared" si="43"/>
        <v>1</v>
      </c>
      <c r="I32" s="105">
        <v>1</v>
      </c>
      <c r="J32" s="108">
        <v>43772</v>
      </c>
      <c r="K32" s="108" t="str">
        <f t="shared" si="44"/>
        <v>NV11443772VàoSáng</v>
      </c>
      <c r="L32" s="102">
        <f>IFERROR(VLOOKUP(K32,'1. Vân tay'!$F:$G,2,0),0)</f>
        <v>0</v>
      </c>
      <c r="M32" s="108" t="str">
        <f t="shared" si="45"/>
        <v>NV11443772RaSáng</v>
      </c>
      <c r="N32" s="102">
        <f>IFERROR(VLOOKUP(M32,'1. Vân tay'!$F:$G,2,0),0)</f>
        <v>0</v>
      </c>
      <c r="O32" s="108" t="str">
        <f t="shared" si="46"/>
        <v>NV11443772VàoChiều</v>
      </c>
      <c r="P32" s="102">
        <f>IFERROR(VLOOKUP(O32,'1. Vân tay'!$F:$G,2,0),0)</f>
        <v>0</v>
      </c>
      <c r="Q32" s="108" t="str">
        <f t="shared" si="47"/>
        <v>NV11443772RaChiều</v>
      </c>
      <c r="R32" s="102">
        <f>IFERROR(VLOOKUP(Q32,'1. Vân tay'!$F:$G,2,0),0)</f>
        <v>0</v>
      </c>
      <c r="S32" s="102">
        <f t="shared" si="48"/>
        <v>0</v>
      </c>
      <c r="T32" s="109">
        <v>0.33333333333333331</v>
      </c>
      <c r="U32" s="109">
        <v>0.5</v>
      </c>
      <c r="V32" s="109">
        <v>0.5625</v>
      </c>
      <c r="W32" s="109">
        <v>0.72916666666666663</v>
      </c>
      <c r="X32" s="102">
        <f>HDSD!$F$4</f>
        <v>5</v>
      </c>
      <c r="Y32" s="102">
        <f>SUMIFS('2. Đi muộn về sớm'!$K:$K,
'2. Đi muộn về sớm'!$B:$B,$A32,
'2. Đi muộn về sớm'!$D:$D,$J32)</f>
        <v>0</v>
      </c>
      <c r="Z32" s="110">
        <f t="shared" si="49"/>
        <v>0</v>
      </c>
      <c r="AA32" s="110">
        <f t="shared" si="50"/>
        <v>0</v>
      </c>
      <c r="AB32" s="111">
        <f t="shared" si="51"/>
        <v>0</v>
      </c>
      <c r="AC32" s="112">
        <f t="shared" si="8"/>
        <v>0</v>
      </c>
      <c r="AD32" s="113">
        <f t="shared" si="9"/>
        <v>0</v>
      </c>
      <c r="AE32" s="111">
        <f t="shared" si="52"/>
        <v>0</v>
      </c>
      <c r="AF32" s="113">
        <f t="shared" si="11"/>
        <v>0</v>
      </c>
      <c r="AG32" s="113">
        <f t="shared" si="12"/>
        <v>0</v>
      </c>
      <c r="AH32" s="114">
        <f t="shared" si="42"/>
        <v>0</v>
      </c>
      <c r="AI32" s="102" t="str">
        <f t="shared" si="14"/>
        <v/>
      </c>
      <c r="AJ32" s="102" t="str">
        <f t="shared" si="15"/>
        <v>NV11443772</v>
      </c>
      <c r="AK32" s="102" t="str">
        <f>IF(OR(J32&lt;D32,J32&gt;F32),"",
IFERROR(INDEX('3. Đơn xin nghỉ'!$K:$K,MATCH('4. Tổng hợp dữ liệu'!AJ32,'3. Đơn xin nghỉ'!$I:$I,0),1),
IF(AND(AU32="Không CC",I32&lt;&gt;1),"Ro:8","")))</f>
        <v/>
      </c>
      <c r="AL32" s="102" t="str">
        <f t="shared" si="16"/>
        <v>OFF</v>
      </c>
      <c r="AM32" s="102" t="str">
        <f t="shared" si="53"/>
        <v>OFF</v>
      </c>
      <c r="AN32" s="102" t="s">
        <v>93</v>
      </c>
      <c r="AO32" s="102"/>
      <c r="AP32" s="115">
        <f>IFERROR(VLOOKUP(AN32,'Quy đổi công'!A:D,3,0),0)</f>
        <v>0</v>
      </c>
      <c r="AQ32" s="115">
        <f>IFERROR(VLOOKUP(AN32,'Quy đổi công'!A:D,4,0),0)</f>
        <v>0</v>
      </c>
      <c r="AR32" s="115">
        <f t="shared" si="17"/>
        <v>0</v>
      </c>
      <c r="AS32" s="115">
        <f t="shared" si="54"/>
        <v>0</v>
      </c>
      <c r="AT32" s="115">
        <f t="shared" si="55"/>
        <v>0</v>
      </c>
      <c r="AU32" s="102" t="str">
        <f t="shared" si="23"/>
        <v>Không CC</v>
      </c>
      <c r="AV32" s="102" t="str">
        <f t="shared" si="24"/>
        <v/>
      </c>
      <c r="AW32" s="102" t="str">
        <f t="shared" si="25"/>
        <v/>
      </c>
      <c r="AX32" s="102" t="str">
        <f t="shared" si="26"/>
        <v/>
      </c>
      <c r="AY32" s="102" t="str">
        <f t="shared" si="27"/>
        <v/>
      </c>
      <c r="AZ32" s="102"/>
      <c r="BA32" s="102">
        <f>IF(AV32&lt;&gt;0,COUNTIFS($A$7:A32,A32,$AV$7:AV32,"Quên check in"))
+IF(AW32&lt;&gt;0,COUNTIFS($A$7:A32,A32,$AW$7:AW32,"Quên check in"))
+IF(AX32&lt;&gt;0,COUNTIFS($A$7:A32,A32,$AX$7:AX32,"Quên check out"))
+IF(AY32&lt;&gt;0,COUNTIFS($A$7:A32,A32,$AY$7:AY32,"Quên check out"))</f>
        <v>0</v>
      </c>
      <c r="BB32" s="143">
        <f t="shared" si="28"/>
        <v>0</v>
      </c>
    </row>
    <row r="33" spans="1:54" s="83" customFormat="1" ht="14.1" customHeight="1" x14ac:dyDescent="0.3">
      <c r="A33" s="103" t="s">
        <v>10</v>
      </c>
      <c r="B33" s="104" t="s">
        <v>19</v>
      </c>
      <c r="C33" s="105">
        <v>5000000</v>
      </c>
      <c r="D33" s="106">
        <v>43445</v>
      </c>
      <c r="E33" s="107">
        <v>43647</v>
      </c>
      <c r="F33" s="107">
        <v>73415</v>
      </c>
      <c r="G33" s="105">
        <v>26</v>
      </c>
      <c r="H33" s="105">
        <f t="shared" si="43"/>
        <v>1</v>
      </c>
      <c r="I33" s="105">
        <v>1</v>
      </c>
      <c r="J33" s="108">
        <v>43772</v>
      </c>
      <c r="K33" s="108" t="str">
        <f t="shared" si="44"/>
        <v>NV11843772VàoSáng</v>
      </c>
      <c r="L33" s="102">
        <f>IFERROR(VLOOKUP(K33,'1. Vân tay'!$F:$G,2,0),0)</f>
        <v>0</v>
      </c>
      <c r="M33" s="108" t="str">
        <f t="shared" si="45"/>
        <v>NV11843772RaSáng</v>
      </c>
      <c r="N33" s="102">
        <f>IFERROR(VLOOKUP(M33,'1. Vân tay'!$F:$G,2,0),0)</f>
        <v>0</v>
      </c>
      <c r="O33" s="108" t="str">
        <f t="shared" si="46"/>
        <v>NV11843772VàoChiều</v>
      </c>
      <c r="P33" s="102">
        <f>IFERROR(VLOOKUP(O33,'1. Vân tay'!$F:$G,2,0),0)</f>
        <v>0</v>
      </c>
      <c r="Q33" s="108" t="str">
        <f t="shared" si="47"/>
        <v>NV11843772RaChiều</v>
      </c>
      <c r="R33" s="102">
        <f>IFERROR(VLOOKUP(Q33,'1. Vân tay'!$F:$G,2,0),0)</f>
        <v>0</v>
      </c>
      <c r="S33" s="102">
        <f t="shared" si="48"/>
        <v>0</v>
      </c>
      <c r="T33" s="109">
        <v>0.33333333333333331</v>
      </c>
      <c r="U33" s="109">
        <v>0.5</v>
      </c>
      <c r="V33" s="109">
        <v>0.5625</v>
      </c>
      <c r="W33" s="109">
        <v>0.72916666666666663</v>
      </c>
      <c r="X33" s="102">
        <f>HDSD!$F$4</f>
        <v>5</v>
      </c>
      <c r="Y33" s="102">
        <f>SUMIFS('2. Đi muộn về sớm'!$K:$K,
'2. Đi muộn về sớm'!$B:$B,$A33,
'2. Đi muộn về sớm'!$D:$D,$J33)</f>
        <v>0</v>
      </c>
      <c r="Z33" s="110">
        <f t="shared" si="49"/>
        <v>0</v>
      </c>
      <c r="AA33" s="110">
        <f t="shared" si="50"/>
        <v>0</v>
      </c>
      <c r="AB33" s="111">
        <f t="shared" si="51"/>
        <v>0</v>
      </c>
      <c r="AC33" s="112">
        <f t="shared" si="8"/>
        <v>0</v>
      </c>
      <c r="AD33" s="113">
        <f t="shared" si="9"/>
        <v>0</v>
      </c>
      <c r="AE33" s="111">
        <f t="shared" si="52"/>
        <v>0</v>
      </c>
      <c r="AF33" s="113">
        <f t="shared" si="11"/>
        <v>0</v>
      </c>
      <c r="AG33" s="113">
        <f t="shared" si="12"/>
        <v>0</v>
      </c>
      <c r="AH33" s="114">
        <f t="shared" si="42"/>
        <v>0</v>
      </c>
      <c r="AI33" s="102" t="str">
        <f t="shared" si="14"/>
        <v/>
      </c>
      <c r="AJ33" s="102" t="str">
        <f t="shared" si="15"/>
        <v>NV11843772</v>
      </c>
      <c r="AK33" s="102" t="str">
        <f>IF(OR(J33&lt;D33,J33&gt;F33),"",
IFERROR(INDEX('3. Đơn xin nghỉ'!$K:$K,MATCH('4. Tổng hợp dữ liệu'!AJ33,'3. Đơn xin nghỉ'!$I:$I,0),1),
IF(AND(AU33="Không CC",I33&lt;&gt;1),"Ro:8","")))</f>
        <v/>
      </c>
      <c r="AL33" s="102" t="str">
        <f t="shared" si="16"/>
        <v>OFF</v>
      </c>
      <c r="AM33" s="102" t="str">
        <f t="shared" si="53"/>
        <v>OFF</v>
      </c>
      <c r="AN33" s="102" t="s">
        <v>93</v>
      </c>
      <c r="AO33" s="102"/>
      <c r="AP33" s="115">
        <f>IFERROR(VLOOKUP(AN33,'Quy đổi công'!A:D,3,0),0)</f>
        <v>0</v>
      </c>
      <c r="AQ33" s="115">
        <f>IFERROR(VLOOKUP(AN33,'Quy đổi công'!A:D,4,0),0)</f>
        <v>0</v>
      </c>
      <c r="AR33" s="115">
        <f t="shared" si="17"/>
        <v>0</v>
      </c>
      <c r="AS33" s="115">
        <f t="shared" si="54"/>
        <v>0</v>
      </c>
      <c r="AT33" s="115">
        <f t="shared" si="55"/>
        <v>0</v>
      </c>
      <c r="AU33" s="102" t="str">
        <f t="shared" si="23"/>
        <v>Không CC</v>
      </c>
      <c r="AV33" s="102" t="str">
        <f t="shared" si="24"/>
        <v/>
      </c>
      <c r="AW33" s="102" t="str">
        <f t="shared" si="25"/>
        <v/>
      </c>
      <c r="AX33" s="102" t="str">
        <f t="shared" si="26"/>
        <v/>
      </c>
      <c r="AY33" s="102" t="str">
        <f t="shared" si="27"/>
        <v/>
      </c>
      <c r="AZ33" s="102"/>
      <c r="BA33" s="102">
        <f>IF(AV33&lt;&gt;0,COUNTIFS($A$7:A33,A33,$AV$7:AV33,"Quên check in"))
+IF(AW33&lt;&gt;0,COUNTIFS($A$7:A33,A33,$AW$7:AW33,"Quên check in"))
+IF(AX33&lt;&gt;0,COUNTIFS($A$7:A33,A33,$AX$7:AX33,"Quên check out"))
+IF(AY33&lt;&gt;0,COUNTIFS($A$7:A33,A33,$AY$7:AY33,"Quên check out"))</f>
        <v>0</v>
      </c>
      <c r="BB33" s="143">
        <f t="shared" si="28"/>
        <v>0</v>
      </c>
    </row>
    <row r="34" spans="1:54" s="83" customFormat="1" ht="14.1" customHeight="1" x14ac:dyDescent="0.3">
      <c r="A34" s="103" t="s">
        <v>11</v>
      </c>
      <c r="B34" s="104" t="s">
        <v>20</v>
      </c>
      <c r="C34" s="105">
        <v>4700000</v>
      </c>
      <c r="D34" s="106">
        <v>43467</v>
      </c>
      <c r="E34" s="107">
        <v>43617</v>
      </c>
      <c r="F34" s="107">
        <v>73415</v>
      </c>
      <c r="G34" s="105">
        <v>26</v>
      </c>
      <c r="H34" s="105">
        <f t="shared" si="43"/>
        <v>1</v>
      </c>
      <c r="I34" s="105">
        <v>1</v>
      </c>
      <c r="J34" s="108">
        <v>43772</v>
      </c>
      <c r="K34" s="108" t="str">
        <f t="shared" si="44"/>
        <v>NV12243772VàoSáng</v>
      </c>
      <c r="L34" s="102">
        <f>IFERROR(VLOOKUP(K34,'1. Vân tay'!$F:$G,2,0),0)</f>
        <v>0</v>
      </c>
      <c r="M34" s="108" t="str">
        <f t="shared" si="45"/>
        <v>NV12243772RaSáng</v>
      </c>
      <c r="N34" s="102">
        <f>IFERROR(VLOOKUP(M34,'1. Vân tay'!$F:$G,2,0),0)</f>
        <v>0</v>
      </c>
      <c r="O34" s="108" t="str">
        <f t="shared" si="46"/>
        <v>NV12243772VàoChiều</v>
      </c>
      <c r="P34" s="102">
        <f>IFERROR(VLOOKUP(O34,'1. Vân tay'!$F:$G,2,0),0)</f>
        <v>0</v>
      </c>
      <c r="Q34" s="108" t="str">
        <f t="shared" si="47"/>
        <v>NV12243772RaChiều</v>
      </c>
      <c r="R34" s="102">
        <f>IFERROR(VLOOKUP(Q34,'1. Vân tay'!$F:$G,2,0),0)</f>
        <v>0</v>
      </c>
      <c r="S34" s="102">
        <f t="shared" si="48"/>
        <v>0</v>
      </c>
      <c r="T34" s="109">
        <v>0.33333333333333331</v>
      </c>
      <c r="U34" s="109">
        <v>0.5</v>
      </c>
      <c r="V34" s="109">
        <v>0.5625</v>
      </c>
      <c r="W34" s="109">
        <v>0.72916666666666663</v>
      </c>
      <c r="X34" s="102">
        <f>HDSD!$F$4</f>
        <v>5</v>
      </c>
      <c r="Y34" s="102">
        <f>SUMIFS('2. Đi muộn về sớm'!$K:$K,
'2. Đi muộn về sớm'!$B:$B,$A34,
'2. Đi muộn về sớm'!$D:$D,$J34)</f>
        <v>0</v>
      </c>
      <c r="Z34" s="110">
        <f t="shared" si="49"/>
        <v>0</v>
      </c>
      <c r="AA34" s="110">
        <f t="shared" si="50"/>
        <v>0</v>
      </c>
      <c r="AB34" s="111">
        <f t="shared" si="51"/>
        <v>0</v>
      </c>
      <c r="AC34" s="112">
        <f t="shared" si="8"/>
        <v>0</v>
      </c>
      <c r="AD34" s="113">
        <f t="shared" si="9"/>
        <v>0</v>
      </c>
      <c r="AE34" s="111">
        <f t="shared" si="52"/>
        <v>0</v>
      </c>
      <c r="AF34" s="113">
        <f t="shared" si="11"/>
        <v>0</v>
      </c>
      <c r="AG34" s="113">
        <f t="shared" si="12"/>
        <v>0</v>
      </c>
      <c r="AH34" s="114">
        <f t="shared" si="42"/>
        <v>0</v>
      </c>
      <c r="AI34" s="102" t="str">
        <f t="shared" si="14"/>
        <v/>
      </c>
      <c r="AJ34" s="102" t="str">
        <f t="shared" si="15"/>
        <v>NV12243772</v>
      </c>
      <c r="AK34" s="102" t="str">
        <f>IF(OR(J34&lt;D34,J34&gt;F34),"",
IFERROR(INDEX('3. Đơn xin nghỉ'!$K:$K,MATCH('4. Tổng hợp dữ liệu'!AJ34,'3. Đơn xin nghỉ'!$I:$I,0),1),
IF(AND(AU34="Không CC",I34&lt;&gt;1),"Ro:8","")))</f>
        <v/>
      </c>
      <c r="AL34" s="102" t="str">
        <f t="shared" si="16"/>
        <v>OFF</v>
      </c>
      <c r="AM34" s="102" t="str">
        <f t="shared" si="53"/>
        <v>OFF</v>
      </c>
      <c r="AN34" s="102" t="s">
        <v>93</v>
      </c>
      <c r="AO34" s="102"/>
      <c r="AP34" s="115">
        <f>IFERROR(VLOOKUP(AN34,'Quy đổi công'!A:D,3,0),0)</f>
        <v>0</v>
      </c>
      <c r="AQ34" s="115">
        <f>IFERROR(VLOOKUP(AN34,'Quy đổi công'!A:D,4,0),0)</f>
        <v>0</v>
      </c>
      <c r="AR34" s="115">
        <f t="shared" si="17"/>
        <v>0</v>
      </c>
      <c r="AS34" s="115">
        <f t="shared" si="54"/>
        <v>0</v>
      </c>
      <c r="AT34" s="115">
        <f t="shared" si="55"/>
        <v>0</v>
      </c>
      <c r="AU34" s="102" t="str">
        <f t="shared" si="23"/>
        <v>Không CC</v>
      </c>
      <c r="AV34" s="102" t="str">
        <f t="shared" si="24"/>
        <v/>
      </c>
      <c r="AW34" s="102" t="str">
        <f t="shared" si="25"/>
        <v/>
      </c>
      <c r="AX34" s="102" t="str">
        <f t="shared" si="26"/>
        <v/>
      </c>
      <c r="AY34" s="102" t="str">
        <f t="shared" si="27"/>
        <v/>
      </c>
      <c r="AZ34" s="102"/>
      <c r="BA34" s="102">
        <f>IF(AV34&lt;&gt;0,COUNTIFS($A$7:A34,A34,$AV$7:AV34,"Quên check in"))
+IF(AW34&lt;&gt;0,COUNTIFS($A$7:A34,A34,$AW$7:AW34,"Quên check in"))
+IF(AX34&lt;&gt;0,COUNTIFS($A$7:A34,A34,$AX$7:AX34,"Quên check out"))
+IF(AY34&lt;&gt;0,COUNTIFS($A$7:A34,A34,$AY$7:AY34,"Quên check out"))</f>
        <v>1</v>
      </c>
      <c r="BB34" s="143">
        <f t="shared" si="28"/>
        <v>0</v>
      </c>
    </row>
    <row r="35" spans="1:54" s="83" customFormat="1" ht="14.1" customHeight="1" x14ac:dyDescent="0.3">
      <c r="A35" s="103" t="s">
        <v>12</v>
      </c>
      <c r="B35" s="104" t="s">
        <v>21</v>
      </c>
      <c r="C35" s="105">
        <v>5000000</v>
      </c>
      <c r="D35" s="106">
        <v>43482</v>
      </c>
      <c r="E35" s="107">
        <v>43647</v>
      </c>
      <c r="F35" s="107">
        <v>73415</v>
      </c>
      <c r="G35" s="105">
        <v>26</v>
      </c>
      <c r="H35" s="105">
        <f t="shared" si="43"/>
        <v>1</v>
      </c>
      <c r="I35" s="105">
        <v>1</v>
      </c>
      <c r="J35" s="108">
        <v>43772</v>
      </c>
      <c r="K35" s="108" t="str">
        <f t="shared" si="44"/>
        <v>NV12343772VàoSáng</v>
      </c>
      <c r="L35" s="102">
        <f>IFERROR(VLOOKUP(K35,'1. Vân tay'!$F:$G,2,0),0)</f>
        <v>0</v>
      </c>
      <c r="M35" s="108" t="str">
        <f t="shared" si="45"/>
        <v>NV12343772RaSáng</v>
      </c>
      <c r="N35" s="102">
        <f>IFERROR(VLOOKUP(M35,'1. Vân tay'!$F:$G,2,0),0)</f>
        <v>0</v>
      </c>
      <c r="O35" s="108" t="str">
        <f t="shared" si="46"/>
        <v>NV12343772VàoChiều</v>
      </c>
      <c r="P35" s="102">
        <f>IFERROR(VLOOKUP(O35,'1. Vân tay'!$F:$G,2,0),0)</f>
        <v>0</v>
      </c>
      <c r="Q35" s="108" t="str">
        <f t="shared" si="47"/>
        <v>NV12343772RaChiều</v>
      </c>
      <c r="R35" s="102">
        <f>IFERROR(VLOOKUP(Q35,'1. Vân tay'!$F:$G,2,0),0)</f>
        <v>0</v>
      </c>
      <c r="S35" s="102">
        <f t="shared" si="48"/>
        <v>0</v>
      </c>
      <c r="T35" s="109">
        <v>0.33333333333333331</v>
      </c>
      <c r="U35" s="109">
        <v>0.5</v>
      </c>
      <c r="V35" s="109">
        <v>0.5625</v>
      </c>
      <c r="W35" s="109">
        <v>0.72916666666666663</v>
      </c>
      <c r="X35" s="102">
        <f>HDSD!$F$4</f>
        <v>5</v>
      </c>
      <c r="Y35" s="102">
        <f>SUMIFS('2. Đi muộn về sớm'!$K:$K,
'2. Đi muộn về sớm'!$B:$B,$A35,
'2. Đi muộn về sớm'!$D:$D,$J35)</f>
        <v>0</v>
      </c>
      <c r="Z35" s="110">
        <f t="shared" si="49"/>
        <v>0</v>
      </c>
      <c r="AA35" s="110">
        <f t="shared" si="50"/>
        <v>0</v>
      </c>
      <c r="AB35" s="111">
        <f t="shared" si="51"/>
        <v>0</v>
      </c>
      <c r="AC35" s="112">
        <f t="shared" si="8"/>
        <v>0</v>
      </c>
      <c r="AD35" s="113">
        <f t="shared" si="9"/>
        <v>0</v>
      </c>
      <c r="AE35" s="111">
        <f t="shared" si="52"/>
        <v>0</v>
      </c>
      <c r="AF35" s="113">
        <f t="shared" si="11"/>
        <v>0</v>
      </c>
      <c r="AG35" s="113">
        <f t="shared" si="12"/>
        <v>0</v>
      </c>
      <c r="AH35" s="114">
        <f t="shared" si="42"/>
        <v>0</v>
      </c>
      <c r="AI35" s="102" t="str">
        <f t="shared" si="14"/>
        <v/>
      </c>
      <c r="AJ35" s="102" t="str">
        <f t="shared" si="15"/>
        <v>NV12343772</v>
      </c>
      <c r="AK35" s="102" t="str">
        <f>IF(OR(J35&lt;D35,J35&gt;F35),"",
IFERROR(INDEX('3. Đơn xin nghỉ'!$K:$K,MATCH('4. Tổng hợp dữ liệu'!AJ35,'3. Đơn xin nghỉ'!$I:$I,0),1),
IF(AND(AU35="Không CC",I35&lt;&gt;1),"Ro:8","")))</f>
        <v/>
      </c>
      <c r="AL35" s="102" t="str">
        <f t="shared" si="16"/>
        <v>OFF</v>
      </c>
      <c r="AM35" s="102" t="str">
        <f t="shared" si="53"/>
        <v>OFF</v>
      </c>
      <c r="AN35" s="102" t="s">
        <v>93</v>
      </c>
      <c r="AO35" s="102"/>
      <c r="AP35" s="115">
        <f>IFERROR(VLOOKUP(AN35,'Quy đổi công'!A:D,3,0),0)</f>
        <v>0</v>
      </c>
      <c r="AQ35" s="115">
        <f>IFERROR(VLOOKUP(AN35,'Quy đổi công'!A:D,4,0),0)</f>
        <v>0</v>
      </c>
      <c r="AR35" s="115">
        <f t="shared" si="17"/>
        <v>0</v>
      </c>
      <c r="AS35" s="115">
        <f t="shared" si="54"/>
        <v>0</v>
      </c>
      <c r="AT35" s="115">
        <f t="shared" si="55"/>
        <v>0</v>
      </c>
      <c r="AU35" s="102" t="str">
        <f t="shared" si="23"/>
        <v>Không CC</v>
      </c>
      <c r="AV35" s="102" t="str">
        <f t="shared" si="24"/>
        <v/>
      </c>
      <c r="AW35" s="102" t="str">
        <f t="shared" si="25"/>
        <v/>
      </c>
      <c r="AX35" s="102" t="str">
        <f t="shared" si="26"/>
        <v/>
      </c>
      <c r="AY35" s="102" t="str">
        <f t="shared" si="27"/>
        <v/>
      </c>
      <c r="AZ35" s="102"/>
      <c r="BA35" s="102">
        <f>IF(AV35&lt;&gt;0,COUNTIFS($A$7:A35,A35,$AV$7:AV35,"Quên check in"))
+IF(AW35&lt;&gt;0,COUNTIFS($A$7:A35,A35,$AW$7:AW35,"Quên check in"))
+IF(AX35&lt;&gt;0,COUNTIFS($A$7:A35,A35,$AX$7:AX35,"Quên check out"))
+IF(AY35&lt;&gt;0,COUNTIFS($A$7:A35,A35,$AY$7:AY35,"Quên check out"))</f>
        <v>0</v>
      </c>
      <c r="BB35" s="143">
        <f t="shared" si="28"/>
        <v>0</v>
      </c>
    </row>
    <row r="36" spans="1:54" s="83" customFormat="1" ht="14.1" customHeight="1" x14ac:dyDescent="0.3">
      <c r="A36" s="103" t="s">
        <v>13</v>
      </c>
      <c r="B36" s="104" t="s">
        <v>22</v>
      </c>
      <c r="C36" s="105">
        <v>4700000</v>
      </c>
      <c r="D36" s="106">
        <v>43531</v>
      </c>
      <c r="E36" s="107">
        <v>43647</v>
      </c>
      <c r="F36" s="107">
        <v>73415</v>
      </c>
      <c r="G36" s="105">
        <v>26</v>
      </c>
      <c r="H36" s="105">
        <f t="shared" si="43"/>
        <v>1</v>
      </c>
      <c r="I36" s="105">
        <v>1</v>
      </c>
      <c r="J36" s="108">
        <v>43772</v>
      </c>
      <c r="K36" s="108" t="str">
        <f t="shared" si="44"/>
        <v>NV12643772VàoSáng</v>
      </c>
      <c r="L36" s="102">
        <f>IFERROR(VLOOKUP(K36,'1. Vân tay'!$F:$G,2,0),0)</f>
        <v>0</v>
      </c>
      <c r="M36" s="108" t="str">
        <f t="shared" si="45"/>
        <v>NV12643772RaSáng</v>
      </c>
      <c r="N36" s="102">
        <f>IFERROR(VLOOKUP(M36,'1. Vân tay'!$F:$G,2,0),0)</f>
        <v>0</v>
      </c>
      <c r="O36" s="108" t="str">
        <f t="shared" si="46"/>
        <v>NV12643772VàoChiều</v>
      </c>
      <c r="P36" s="102">
        <f>IFERROR(VLOOKUP(O36,'1. Vân tay'!$F:$G,2,0),0)</f>
        <v>0</v>
      </c>
      <c r="Q36" s="108" t="str">
        <f t="shared" si="47"/>
        <v>NV12643772RaChiều</v>
      </c>
      <c r="R36" s="102">
        <f>IFERROR(VLOOKUP(Q36,'1. Vân tay'!$F:$G,2,0),0)</f>
        <v>0</v>
      </c>
      <c r="S36" s="102">
        <f t="shared" si="48"/>
        <v>0</v>
      </c>
      <c r="T36" s="109">
        <v>0.33333333333333331</v>
      </c>
      <c r="U36" s="109">
        <v>0.5</v>
      </c>
      <c r="V36" s="109">
        <v>0.5625</v>
      </c>
      <c r="W36" s="109">
        <v>0.72916666666666663</v>
      </c>
      <c r="X36" s="102">
        <f>HDSD!$F$4</f>
        <v>5</v>
      </c>
      <c r="Y36" s="102">
        <f>SUMIFS('2. Đi muộn về sớm'!$K:$K,
'2. Đi muộn về sớm'!$B:$B,$A36,
'2. Đi muộn về sớm'!$D:$D,$J36)</f>
        <v>0</v>
      </c>
      <c r="Z36" s="110">
        <f t="shared" si="49"/>
        <v>0</v>
      </c>
      <c r="AA36" s="110">
        <f t="shared" si="50"/>
        <v>0</v>
      </c>
      <c r="AB36" s="111">
        <f t="shared" si="51"/>
        <v>0</v>
      </c>
      <c r="AC36" s="112">
        <f t="shared" si="8"/>
        <v>0</v>
      </c>
      <c r="AD36" s="113">
        <f t="shared" si="9"/>
        <v>0</v>
      </c>
      <c r="AE36" s="111">
        <f t="shared" si="52"/>
        <v>0</v>
      </c>
      <c r="AF36" s="113">
        <f t="shared" si="11"/>
        <v>0</v>
      </c>
      <c r="AG36" s="113">
        <f t="shared" si="12"/>
        <v>0</v>
      </c>
      <c r="AH36" s="114">
        <f t="shared" si="42"/>
        <v>0</v>
      </c>
      <c r="AI36" s="102" t="str">
        <f t="shared" si="14"/>
        <v/>
      </c>
      <c r="AJ36" s="102" t="str">
        <f t="shared" si="15"/>
        <v>NV12643772</v>
      </c>
      <c r="AK36" s="102" t="str">
        <f>IF(OR(J36&lt;D36,J36&gt;F36),"",
IFERROR(INDEX('3. Đơn xin nghỉ'!$K:$K,MATCH('4. Tổng hợp dữ liệu'!AJ36,'3. Đơn xin nghỉ'!$I:$I,0),1),
IF(AND(AU36="Không CC",I36&lt;&gt;1),"Ro:8","")))</f>
        <v/>
      </c>
      <c r="AL36" s="102" t="str">
        <f t="shared" si="16"/>
        <v>OFF</v>
      </c>
      <c r="AM36" s="102" t="str">
        <f t="shared" si="53"/>
        <v>OFF</v>
      </c>
      <c r="AN36" s="102" t="s">
        <v>93</v>
      </c>
      <c r="AO36" s="102"/>
      <c r="AP36" s="115">
        <f>IFERROR(VLOOKUP(AN36,'Quy đổi công'!A:D,3,0),0)</f>
        <v>0</v>
      </c>
      <c r="AQ36" s="115">
        <f>IFERROR(VLOOKUP(AN36,'Quy đổi công'!A:D,4,0),0)</f>
        <v>0</v>
      </c>
      <c r="AR36" s="115">
        <f t="shared" si="17"/>
        <v>0</v>
      </c>
      <c r="AS36" s="115">
        <f t="shared" si="54"/>
        <v>0</v>
      </c>
      <c r="AT36" s="115">
        <f t="shared" si="55"/>
        <v>0</v>
      </c>
      <c r="AU36" s="102" t="str">
        <f t="shared" si="23"/>
        <v>Không CC</v>
      </c>
      <c r="AV36" s="102" t="str">
        <f t="shared" si="24"/>
        <v/>
      </c>
      <c r="AW36" s="102" t="str">
        <f t="shared" si="25"/>
        <v/>
      </c>
      <c r="AX36" s="102" t="str">
        <f t="shared" si="26"/>
        <v/>
      </c>
      <c r="AY36" s="102" t="str">
        <f t="shared" si="27"/>
        <v/>
      </c>
      <c r="AZ36" s="102"/>
      <c r="BA36" s="102">
        <f>IF(AV36&lt;&gt;0,COUNTIFS($A$7:A36,A36,$AV$7:AV36,"Quên check in"))
+IF(AW36&lt;&gt;0,COUNTIFS($A$7:A36,A36,$AW$7:AW36,"Quên check in"))
+IF(AX36&lt;&gt;0,COUNTIFS($A$7:A36,A36,$AX$7:AX36,"Quên check out"))
+IF(AY36&lt;&gt;0,COUNTIFS($A$7:A36,A36,$AY$7:AY36,"Quên check out"))</f>
        <v>0</v>
      </c>
      <c r="BB36" s="143">
        <f t="shared" si="28"/>
        <v>0</v>
      </c>
    </row>
    <row r="37" spans="1:54" s="83" customFormat="1" ht="14.1" customHeight="1" x14ac:dyDescent="0.3">
      <c r="A37" s="103" t="s">
        <v>4</v>
      </c>
      <c r="B37" s="104" t="s">
        <v>14</v>
      </c>
      <c r="C37" s="105">
        <v>4700000</v>
      </c>
      <c r="D37" s="106">
        <v>43388</v>
      </c>
      <c r="E37" s="107">
        <v>43525</v>
      </c>
      <c r="F37" s="107">
        <v>73415</v>
      </c>
      <c r="G37" s="105">
        <v>26</v>
      </c>
      <c r="H37" s="105">
        <f t="shared" ref="H37:H46" si="56">WEEKDAY(J37,1)</f>
        <v>2</v>
      </c>
      <c r="I37" s="105"/>
      <c r="J37" s="108">
        <v>43773</v>
      </c>
      <c r="K37" s="108" t="str">
        <f t="shared" ref="K37:K46" si="57">$A37&amp;$J37&amp;"Vào"&amp;"Sáng"</f>
        <v>NV10143773VàoSáng</v>
      </c>
      <c r="L37" s="102">
        <f>IFERROR(VLOOKUP(K37,'1. Vân tay'!$F:$G,2,0),0)</f>
        <v>0</v>
      </c>
      <c r="M37" s="108" t="str">
        <f t="shared" ref="M37:M46" si="58">$A37&amp;$J37&amp;"Ra"&amp;"Sáng"</f>
        <v>NV10143773RaSáng</v>
      </c>
      <c r="N37" s="102">
        <f>IFERROR(VLOOKUP(M37,'1. Vân tay'!$F:$G,2,0),0)</f>
        <v>0</v>
      </c>
      <c r="O37" s="108" t="str">
        <f t="shared" ref="O37:O46" si="59">$A37&amp;$J37&amp;"Vào"&amp;"Chiều"</f>
        <v>NV10143773VàoChiều</v>
      </c>
      <c r="P37" s="102">
        <f>IFERROR(VLOOKUP(O37,'1. Vân tay'!$F:$G,2,0),0)</f>
        <v>0</v>
      </c>
      <c r="Q37" s="108" t="str">
        <f t="shared" ref="Q37:Q46" si="60">$A37&amp;$J37&amp;"Ra"&amp;"Chiều"</f>
        <v>NV10143773RaChiều</v>
      </c>
      <c r="R37" s="102">
        <f>IFERROR(VLOOKUP(Q37,'1. Vân tay'!$F:$G,2,0),0)</f>
        <v>0</v>
      </c>
      <c r="S37" s="102">
        <f t="shared" ref="S37:S46" si="61">IF(OR(
(AND(L37&lt;&gt;0,P37&lt;&gt;0)),
(AND(N37&lt;&gt;0,R37&lt;&gt;0))),"Kiểm tra",0)</f>
        <v>0</v>
      </c>
      <c r="T37" s="109">
        <v>0.33333333333333331</v>
      </c>
      <c r="U37" s="109">
        <v>0.5</v>
      </c>
      <c r="V37" s="109">
        <v>0.5625</v>
      </c>
      <c r="W37" s="109">
        <v>0.72916666666666663</v>
      </c>
      <c r="X37" s="102">
        <f>HDSD!$F$4</f>
        <v>5</v>
      </c>
      <c r="Y37" s="102">
        <f>SUMIFS('2. Đi muộn về sớm'!$K:$K,
'2. Đi muộn về sớm'!$B:$B,$A37,
'2. Đi muộn về sớm'!$D:$D,$J37)</f>
        <v>0</v>
      </c>
      <c r="Z37" s="110">
        <f t="shared" ref="Z37:Z46" si="62">IF(L37=0,0,IFERROR((HOUR(L37-T37)*60+MINUTE(L37-T37)+SECOND(L37-T37)/60),0))
+IF(N37=0,0, IFERROR((HOUR(U37-N37)*60+MINUTE(U37-N37)+SECOND(U37-N37)/60),0))
+IF(P37=0,0, IFERROR((HOUR(P37-V37)*60+MINUTE(P37-V37)+SECOND(P37-V37)/60),0))
+IF(R37=0,0, IFERROR((HOUR(W37-R37)*60+MINUTE(W37-R37)+SECOND(W37-R37)/60),0))</f>
        <v>0</v>
      </c>
      <c r="AA37" s="110">
        <f t="shared" ref="AA37:AA46" si="63">IF(L37=0,0,IFERROR((HOUR(L37-"09:00:00")*60+MINUTE(L37-"09:00:00")+SECOND(L37-"09:00:00")/60),0))
+IF(N37=0,0, IFERROR((HOUR(U37-N37)*60+MINUTE(U37-N37)+SECOND(U37-N37)/60),0))
+IF(P37=0,0, IFERROR((HOUR(P37-V37)*60+MINUTE(P37-V37)+SECOND(P37-V37)/60),0))
+IF(R37=0,0, IFERROR((HOUR("16:30:00"-R37)*60+MINUTE("16:30:00"-R37)+SECOND("16:30:00"-R37)/60),0))</f>
        <v>0</v>
      </c>
      <c r="AB37" s="111">
        <f t="shared" ref="AB37:AB46" si="64">Z37-AA37</f>
        <v>0</v>
      </c>
      <c r="AC37" s="112">
        <f t="shared" si="8"/>
        <v>0</v>
      </c>
      <c r="AD37" s="113">
        <f t="shared" si="9"/>
        <v>0</v>
      </c>
      <c r="AE37" s="111">
        <f t="shared" ref="AE37:AE46" si="65">AA37/60/8</f>
        <v>0</v>
      </c>
      <c r="AF37" s="113">
        <f t="shared" si="11"/>
        <v>0</v>
      </c>
      <c r="AG37" s="113">
        <f t="shared" si="12"/>
        <v>0</v>
      </c>
      <c r="AH37" s="114">
        <f t="shared" si="42"/>
        <v>0</v>
      </c>
      <c r="AI37" s="102" t="str">
        <f t="shared" si="14"/>
        <v/>
      </c>
      <c r="AJ37" s="102" t="str">
        <f t="shared" si="15"/>
        <v>NV10143773</v>
      </c>
      <c r="AK37" s="102" t="str">
        <f>IF(OR(J37&lt;D37,J37&gt;F37),"",
IFERROR(INDEX('3. Đơn xin nghỉ'!$K:$K,MATCH('4. Tổng hợp dữ liệu'!AJ37,'3. Đơn xin nghỉ'!$I:$I,0),1),
IF(AND(AU37="Không CC",I37&lt;&gt;1),"Ro:8","")))</f>
        <v>Ro:8</v>
      </c>
      <c r="AL37" s="102" t="str">
        <f t="shared" si="16"/>
        <v/>
      </c>
      <c r="AM37" s="102" t="str">
        <f t="shared" ref="AM37:AM46" si="66">IF(OR(AI37="",AK37=""),AI37&amp;AK37,AI37&amp;","&amp;AK37)&amp;AL37</f>
        <v>Ro:8</v>
      </c>
      <c r="AN37" s="102" t="s">
        <v>83</v>
      </c>
      <c r="AO37" s="102"/>
      <c r="AP37" s="115">
        <f>IFERROR(VLOOKUP(AN37,'Quy đổi công'!A:D,3,0),0)</f>
        <v>0</v>
      </c>
      <c r="AQ37" s="115">
        <f>IFERROR(VLOOKUP(AN37,'Quy đổi công'!A:D,4,0),0)</f>
        <v>1</v>
      </c>
      <c r="AR37" s="115">
        <f t="shared" si="17"/>
        <v>0</v>
      </c>
      <c r="AS37" s="115">
        <f t="shared" ref="AS37:AS46" si="67">AP37-AR37</f>
        <v>0</v>
      </c>
      <c r="AT37" s="115">
        <f t="shared" ref="AT37:AT46" si="68">IF(AN37="P8",1)
+IF(OR(AN37="X:4,P:4",AN37="P:4,Rv:4",AN37="P:4,Ro:4"),1/2)</f>
        <v>0</v>
      </c>
      <c r="AU37" s="102" t="str">
        <f t="shared" si="23"/>
        <v>Không CC</v>
      </c>
      <c r="AV37" s="102" t="str">
        <f t="shared" si="24"/>
        <v/>
      </c>
      <c r="AW37" s="102" t="str">
        <f t="shared" si="25"/>
        <v/>
      </c>
      <c r="AX37" s="102" t="str">
        <f t="shared" si="26"/>
        <v/>
      </c>
      <c r="AY37" s="102" t="str">
        <f t="shared" si="27"/>
        <v/>
      </c>
      <c r="AZ37" s="102"/>
      <c r="BA37" s="102">
        <f>IF(AV37&lt;&gt;0,COUNTIFS($A$7:A37,A37,$AV$7:AV37,"Quên check in"))
+IF(AW37&lt;&gt;0,COUNTIFS($A$7:A37,A37,$AW$7:AW37,"Quên check in"))
+IF(AX37&lt;&gt;0,COUNTIFS($A$7:A37,A37,$AX$7:AX37,"Quên check out"))
+IF(AY37&lt;&gt;0,COUNTIFS($A$7:A37,A37,$AY$7:AY37,"Quên check out"))</f>
        <v>0</v>
      </c>
      <c r="BB37" s="143">
        <f t="shared" si="28"/>
        <v>0</v>
      </c>
    </row>
    <row r="38" spans="1:54" s="83" customFormat="1" ht="14.1" customHeight="1" x14ac:dyDescent="0.3">
      <c r="A38" s="103" t="s">
        <v>5</v>
      </c>
      <c r="B38" s="104" t="s">
        <v>28</v>
      </c>
      <c r="C38" s="105">
        <v>10000000</v>
      </c>
      <c r="D38" s="106">
        <v>43409</v>
      </c>
      <c r="E38" s="107">
        <v>43678</v>
      </c>
      <c r="F38" s="107">
        <v>73415</v>
      </c>
      <c r="G38" s="105">
        <v>26</v>
      </c>
      <c r="H38" s="105">
        <f t="shared" si="56"/>
        <v>2</v>
      </c>
      <c r="I38" s="105"/>
      <c r="J38" s="108">
        <v>43773</v>
      </c>
      <c r="K38" s="108" t="str">
        <f t="shared" si="57"/>
        <v>NV10743773VàoSáng</v>
      </c>
      <c r="L38" s="102" t="str">
        <f>IFERROR(VLOOKUP(K38,'1. Vân tay'!$F:$G,2,0),0)</f>
        <v>08:21:42</v>
      </c>
      <c r="M38" s="108" t="str">
        <f t="shared" si="58"/>
        <v>NV10743773RaSáng</v>
      </c>
      <c r="N38" s="102">
        <f>IFERROR(VLOOKUP(M38,'1. Vân tay'!$F:$G,2,0),0)</f>
        <v>0</v>
      </c>
      <c r="O38" s="108" t="str">
        <f t="shared" si="59"/>
        <v>NV10743773VàoChiều</v>
      </c>
      <c r="P38" s="102">
        <f>IFERROR(VLOOKUP(O38,'1. Vân tay'!$F:$G,2,0),0)</f>
        <v>0</v>
      </c>
      <c r="Q38" s="108" t="str">
        <f t="shared" si="60"/>
        <v>NV10743773RaChiều</v>
      </c>
      <c r="R38" s="102" t="str">
        <f>IFERROR(VLOOKUP(Q38,'1. Vân tay'!$F:$G,2,0),0)</f>
        <v>17:32:27</v>
      </c>
      <c r="S38" s="102">
        <f t="shared" si="61"/>
        <v>0</v>
      </c>
      <c r="T38" s="109">
        <v>0.33333333333333331</v>
      </c>
      <c r="U38" s="109">
        <v>0.5</v>
      </c>
      <c r="V38" s="109">
        <v>0.5625</v>
      </c>
      <c r="W38" s="109">
        <v>0.72916666666666663</v>
      </c>
      <c r="X38" s="102">
        <f>HDSD!$F$4</f>
        <v>5</v>
      </c>
      <c r="Y38" s="102">
        <f>SUMIFS('2. Đi muộn về sớm'!$K:$K,
'2. Đi muộn về sớm'!$B:$B,$A38,
'2. Đi muộn về sớm'!$D:$D,$J38)</f>
        <v>0</v>
      </c>
      <c r="Z38" s="110">
        <f t="shared" si="62"/>
        <v>21.7</v>
      </c>
      <c r="AA38" s="110">
        <f t="shared" si="63"/>
        <v>0</v>
      </c>
      <c r="AB38" s="111">
        <f t="shared" si="64"/>
        <v>21.7</v>
      </c>
      <c r="AC38" s="112">
        <f t="shared" si="8"/>
        <v>16.7</v>
      </c>
      <c r="AD38" s="113">
        <f t="shared" si="9"/>
        <v>33400</v>
      </c>
      <c r="AE38" s="111">
        <f t="shared" si="65"/>
        <v>0</v>
      </c>
      <c r="AF38" s="113">
        <f t="shared" si="11"/>
        <v>0</v>
      </c>
      <c r="AG38" s="113">
        <f t="shared" si="12"/>
        <v>33400</v>
      </c>
      <c r="AH38" s="114">
        <f t="shared" si="42"/>
        <v>9.1791666666666654</v>
      </c>
      <c r="AI38" s="102" t="str">
        <f t="shared" si="14"/>
        <v>X:8</v>
      </c>
      <c r="AJ38" s="102" t="str">
        <f t="shared" si="15"/>
        <v>NV10743773</v>
      </c>
      <c r="AK38" s="102" t="str">
        <f>IF(OR(J38&lt;D38,J38&gt;F38),"",
IFERROR(INDEX('3. Đơn xin nghỉ'!$K:$K,MATCH('4. Tổng hợp dữ liệu'!AJ38,'3. Đơn xin nghỉ'!$I:$I,0),1),
IF(AND(AU38="Không CC",I38&lt;&gt;1),"Ro:8","")))</f>
        <v/>
      </c>
      <c r="AL38" s="102" t="str">
        <f t="shared" si="16"/>
        <v/>
      </c>
      <c r="AM38" s="102" t="str">
        <f t="shared" si="66"/>
        <v>X:8</v>
      </c>
      <c r="AN38" s="102" t="s">
        <v>92</v>
      </c>
      <c r="AO38" s="102"/>
      <c r="AP38" s="115">
        <f>IFERROR(VLOOKUP(AN38,'Quy đổi công'!A:D,3,0),0)</f>
        <v>1</v>
      </c>
      <c r="AQ38" s="115">
        <f>IFERROR(VLOOKUP(AN38,'Quy đổi công'!A:D,4,0),0)</f>
        <v>0</v>
      </c>
      <c r="AR38" s="115">
        <f t="shared" si="17"/>
        <v>0</v>
      </c>
      <c r="AS38" s="115">
        <f t="shared" si="67"/>
        <v>1</v>
      </c>
      <c r="AT38" s="115">
        <f t="shared" si="68"/>
        <v>0</v>
      </c>
      <c r="AU38" s="102" t="str">
        <f t="shared" si="23"/>
        <v/>
      </c>
      <c r="AV38" s="102" t="str">
        <f t="shared" si="24"/>
        <v/>
      </c>
      <c r="AW38" s="102" t="str">
        <f t="shared" si="25"/>
        <v/>
      </c>
      <c r="AX38" s="102" t="str">
        <f t="shared" si="26"/>
        <v/>
      </c>
      <c r="AY38" s="102" t="str">
        <f t="shared" si="27"/>
        <v/>
      </c>
      <c r="AZ38" s="102"/>
      <c r="BA38" s="102">
        <f>IF(AV38&lt;&gt;0,COUNTIFS($A$7:A38,A38,$AV$7:AV38,"Quên check in"))
+IF(AW38&lt;&gt;0,COUNTIFS($A$7:A38,A38,$AW$7:AW38,"Quên check in"))
+IF(AX38&lt;&gt;0,COUNTIFS($A$7:A38,A38,$AX$7:AX38,"Quên check out"))
+IF(AY38&lt;&gt;0,COUNTIFS($A$7:A38,A38,$AY$7:AY38,"Quên check out"))</f>
        <v>0</v>
      </c>
      <c r="BB38" s="143">
        <f t="shared" si="28"/>
        <v>0</v>
      </c>
    </row>
    <row r="39" spans="1:54" s="83" customFormat="1" ht="14.1" customHeight="1" x14ac:dyDescent="0.3">
      <c r="A39" s="103" t="s">
        <v>6</v>
      </c>
      <c r="B39" s="104" t="s">
        <v>15</v>
      </c>
      <c r="C39" s="105">
        <v>4700000</v>
      </c>
      <c r="D39" s="106">
        <v>43409</v>
      </c>
      <c r="E39" s="107">
        <v>43617</v>
      </c>
      <c r="F39" s="107">
        <v>73415</v>
      </c>
      <c r="G39" s="105">
        <v>26</v>
      </c>
      <c r="H39" s="105">
        <f t="shared" si="56"/>
        <v>2</v>
      </c>
      <c r="I39" s="105"/>
      <c r="J39" s="108">
        <v>43773</v>
      </c>
      <c r="K39" s="108" t="str">
        <f t="shared" si="57"/>
        <v>NV10843773VàoSáng</v>
      </c>
      <c r="L39" s="102" t="str">
        <f>IFERROR(VLOOKUP(K39,'1. Vân tay'!$F:$G,2,0),0)</f>
        <v>07:58:37</v>
      </c>
      <c r="M39" s="108" t="str">
        <f t="shared" si="58"/>
        <v>NV10843773RaSáng</v>
      </c>
      <c r="N39" s="102">
        <f>IFERROR(VLOOKUP(M39,'1. Vân tay'!$F:$G,2,0),0)</f>
        <v>0</v>
      </c>
      <c r="O39" s="108" t="str">
        <f t="shared" si="59"/>
        <v>NV10843773VàoChiều</v>
      </c>
      <c r="P39" s="102">
        <f>IFERROR(VLOOKUP(O39,'1. Vân tay'!$F:$G,2,0),0)</f>
        <v>0</v>
      </c>
      <c r="Q39" s="108" t="str">
        <f t="shared" si="60"/>
        <v>NV10843773RaChiều</v>
      </c>
      <c r="R39" s="102" t="str">
        <f>IFERROR(VLOOKUP(Q39,'1. Vân tay'!$F:$G,2,0),0)</f>
        <v>16:31:03</v>
      </c>
      <c r="S39" s="102">
        <f t="shared" si="61"/>
        <v>0</v>
      </c>
      <c r="T39" s="109">
        <v>0.33333333333333331</v>
      </c>
      <c r="U39" s="109">
        <v>0.5</v>
      </c>
      <c r="V39" s="109">
        <v>0.5625</v>
      </c>
      <c r="W39" s="109">
        <v>0.72916666666666663</v>
      </c>
      <c r="X39" s="102">
        <f>HDSD!$F$4</f>
        <v>5</v>
      </c>
      <c r="Y39" s="102">
        <f>SUMIFS('2. Đi muộn về sớm'!$K:$K,
'2. Đi muộn về sớm'!$B:$B,$A39,
'2. Đi muộn về sớm'!$D:$D,$J39)</f>
        <v>60</v>
      </c>
      <c r="Z39" s="110">
        <f t="shared" si="62"/>
        <v>58.95</v>
      </c>
      <c r="AA39" s="110">
        <f t="shared" si="63"/>
        <v>0</v>
      </c>
      <c r="AB39" s="111">
        <f t="shared" si="64"/>
        <v>58.95</v>
      </c>
      <c r="AC39" s="112">
        <f t="shared" si="8"/>
        <v>0</v>
      </c>
      <c r="AD39" s="113">
        <f t="shared" si="9"/>
        <v>0</v>
      </c>
      <c r="AE39" s="111">
        <f t="shared" si="65"/>
        <v>0</v>
      </c>
      <c r="AF39" s="113">
        <f t="shared" si="11"/>
        <v>0</v>
      </c>
      <c r="AG39" s="113">
        <f t="shared" si="12"/>
        <v>0</v>
      </c>
      <c r="AH39" s="114">
        <f t="shared" si="42"/>
        <v>8.5405555555555548</v>
      </c>
      <c r="AI39" s="102" t="str">
        <f t="shared" si="14"/>
        <v>X:8</v>
      </c>
      <c r="AJ39" s="102" t="str">
        <f t="shared" si="15"/>
        <v>NV10843773</v>
      </c>
      <c r="AK39" s="102" t="str">
        <f>IF(OR(J39&lt;D39,J39&gt;F39),"",
IFERROR(INDEX('3. Đơn xin nghỉ'!$K:$K,MATCH('4. Tổng hợp dữ liệu'!AJ39,'3. Đơn xin nghỉ'!$I:$I,0),1),
IF(AND(AU39="Không CC",I39&lt;&gt;1),"Ro:8","")))</f>
        <v/>
      </c>
      <c r="AL39" s="102" t="str">
        <f t="shared" si="16"/>
        <v/>
      </c>
      <c r="AM39" s="102" t="str">
        <f t="shared" si="66"/>
        <v>X:8</v>
      </c>
      <c r="AN39" s="102" t="s">
        <v>92</v>
      </c>
      <c r="AO39" s="102"/>
      <c r="AP39" s="115">
        <f>IFERROR(VLOOKUP(AN39,'Quy đổi công'!A:D,3,0),0)</f>
        <v>1</v>
      </c>
      <c r="AQ39" s="115">
        <f>IFERROR(VLOOKUP(AN39,'Quy đổi công'!A:D,4,0),0)</f>
        <v>0</v>
      </c>
      <c r="AR39" s="115">
        <f t="shared" si="17"/>
        <v>0</v>
      </c>
      <c r="AS39" s="115">
        <f t="shared" si="67"/>
        <v>1</v>
      </c>
      <c r="AT39" s="115">
        <f t="shared" si="68"/>
        <v>0</v>
      </c>
      <c r="AU39" s="102" t="str">
        <f t="shared" si="23"/>
        <v/>
      </c>
      <c r="AV39" s="102" t="str">
        <f t="shared" si="24"/>
        <v/>
      </c>
      <c r="AW39" s="102" t="str">
        <f t="shared" si="25"/>
        <v/>
      </c>
      <c r="AX39" s="102" t="str">
        <f t="shared" si="26"/>
        <v/>
      </c>
      <c r="AY39" s="102" t="str">
        <f t="shared" si="27"/>
        <v/>
      </c>
      <c r="AZ39" s="102"/>
      <c r="BA39" s="102">
        <f>IF(AV39&lt;&gt;0,COUNTIFS($A$7:A39,A39,$AV$7:AV39,"Quên check in"))
+IF(AW39&lt;&gt;0,COUNTIFS($A$7:A39,A39,$AW$7:AW39,"Quên check in"))
+IF(AX39&lt;&gt;0,COUNTIFS($A$7:A39,A39,$AX$7:AX39,"Quên check out"))
+IF(AY39&lt;&gt;0,COUNTIFS($A$7:A39,A39,$AY$7:AY39,"Quên check out"))</f>
        <v>0</v>
      </c>
      <c r="BB39" s="143">
        <f t="shared" si="28"/>
        <v>0</v>
      </c>
    </row>
    <row r="40" spans="1:54" s="83" customFormat="1" ht="14.1" customHeight="1" x14ac:dyDescent="0.3">
      <c r="A40" s="103" t="s">
        <v>7</v>
      </c>
      <c r="B40" s="104" t="s">
        <v>16</v>
      </c>
      <c r="C40" s="105">
        <v>5000000</v>
      </c>
      <c r="D40" s="106">
        <v>43416</v>
      </c>
      <c r="E40" s="107">
        <v>43617</v>
      </c>
      <c r="F40" s="107">
        <v>73415</v>
      </c>
      <c r="G40" s="105">
        <v>26</v>
      </c>
      <c r="H40" s="105">
        <f t="shared" si="56"/>
        <v>2</v>
      </c>
      <c r="I40" s="105"/>
      <c r="J40" s="108">
        <v>43773</v>
      </c>
      <c r="K40" s="108" t="str">
        <f t="shared" si="57"/>
        <v>NV10943773VàoSáng</v>
      </c>
      <c r="L40" s="102" t="str">
        <f>IFERROR(VLOOKUP(K40,'1. Vân tay'!$F:$G,2,0),0)</f>
        <v>07:54:17</v>
      </c>
      <c r="M40" s="108" t="str">
        <f t="shared" si="58"/>
        <v>NV10943773RaSáng</v>
      </c>
      <c r="N40" s="102">
        <f>IFERROR(VLOOKUP(M40,'1. Vân tay'!$F:$G,2,0),0)</f>
        <v>0</v>
      </c>
      <c r="O40" s="108" t="str">
        <f t="shared" si="59"/>
        <v>NV10943773VàoChiều</v>
      </c>
      <c r="P40" s="102">
        <f>IFERROR(VLOOKUP(O40,'1. Vân tay'!$F:$G,2,0),0)</f>
        <v>0</v>
      </c>
      <c r="Q40" s="108" t="str">
        <f t="shared" si="60"/>
        <v>NV10943773RaChiều</v>
      </c>
      <c r="R40" s="102" t="str">
        <f>IFERROR(VLOOKUP(Q40,'1. Vân tay'!$F:$G,2,0),0)</f>
        <v>17:32:34</v>
      </c>
      <c r="S40" s="102">
        <f t="shared" si="61"/>
        <v>0</v>
      </c>
      <c r="T40" s="109">
        <v>0.33333333333333331</v>
      </c>
      <c r="U40" s="109">
        <v>0.5</v>
      </c>
      <c r="V40" s="109">
        <v>0.5625</v>
      </c>
      <c r="W40" s="109">
        <v>0.72916666666666663</v>
      </c>
      <c r="X40" s="102">
        <f>HDSD!$F$4</f>
        <v>5</v>
      </c>
      <c r="Y40" s="102">
        <f>SUMIFS('2. Đi muộn về sớm'!$K:$K,
'2. Đi muộn về sớm'!$B:$B,$A40,
'2. Đi muộn về sớm'!$D:$D,$J40)</f>
        <v>0</v>
      </c>
      <c r="Z40" s="110">
        <f t="shared" si="62"/>
        <v>0</v>
      </c>
      <c r="AA40" s="110">
        <f t="shared" si="63"/>
        <v>0</v>
      </c>
      <c r="AB40" s="111">
        <f t="shared" si="64"/>
        <v>0</v>
      </c>
      <c r="AC40" s="112">
        <f t="shared" si="8"/>
        <v>0</v>
      </c>
      <c r="AD40" s="113">
        <f t="shared" si="9"/>
        <v>0</v>
      </c>
      <c r="AE40" s="111">
        <f t="shared" si="65"/>
        <v>0</v>
      </c>
      <c r="AF40" s="113">
        <f t="shared" si="11"/>
        <v>0</v>
      </c>
      <c r="AG40" s="113">
        <f t="shared" si="12"/>
        <v>0</v>
      </c>
      <c r="AH40" s="114">
        <f t="shared" si="42"/>
        <v>9.6380555555555549</v>
      </c>
      <c r="AI40" s="102" t="str">
        <f t="shared" si="14"/>
        <v>X:8</v>
      </c>
      <c r="AJ40" s="102" t="str">
        <f t="shared" si="15"/>
        <v>NV10943773</v>
      </c>
      <c r="AK40" s="102" t="str">
        <f>IF(OR(J40&lt;D40,J40&gt;F40),"",
IFERROR(INDEX('3. Đơn xin nghỉ'!$K:$K,MATCH('4. Tổng hợp dữ liệu'!AJ40,'3. Đơn xin nghỉ'!$I:$I,0),1),
IF(AND(AU40="Không CC",I40&lt;&gt;1),"Ro:8","")))</f>
        <v/>
      </c>
      <c r="AL40" s="102" t="str">
        <f t="shared" si="16"/>
        <v/>
      </c>
      <c r="AM40" s="102" t="str">
        <f t="shared" si="66"/>
        <v>X:8</v>
      </c>
      <c r="AN40" s="102" t="s">
        <v>92</v>
      </c>
      <c r="AO40" s="102"/>
      <c r="AP40" s="115">
        <f>IFERROR(VLOOKUP(AN40,'Quy đổi công'!A:D,3,0),0)</f>
        <v>1</v>
      </c>
      <c r="AQ40" s="115">
        <f>IFERROR(VLOOKUP(AN40,'Quy đổi công'!A:D,4,0),0)</f>
        <v>0</v>
      </c>
      <c r="AR40" s="115">
        <f t="shared" si="17"/>
        <v>0</v>
      </c>
      <c r="AS40" s="115">
        <f t="shared" si="67"/>
        <v>1</v>
      </c>
      <c r="AT40" s="115">
        <f t="shared" si="68"/>
        <v>0</v>
      </c>
      <c r="AU40" s="102" t="str">
        <f t="shared" si="23"/>
        <v/>
      </c>
      <c r="AV40" s="102" t="str">
        <f t="shared" si="24"/>
        <v/>
      </c>
      <c r="AW40" s="102" t="str">
        <f t="shared" si="25"/>
        <v/>
      </c>
      <c r="AX40" s="102" t="str">
        <f t="shared" si="26"/>
        <v/>
      </c>
      <c r="AY40" s="102" t="str">
        <f t="shared" si="27"/>
        <v/>
      </c>
      <c r="AZ40" s="102"/>
      <c r="BA40" s="102">
        <f>IF(AV40&lt;&gt;0,COUNTIFS($A$7:A40,A40,$AV$7:AV40,"Quên check in"))
+IF(AW40&lt;&gt;0,COUNTIFS($A$7:A40,A40,$AW$7:AW40,"Quên check in"))
+IF(AX40&lt;&gt;0,COUNTIFS($A$7:A40,A40,$AX$7:AX40,"Quên check out"))
+IF(AY40&lt;&gt;0,COUNTIFS($A$7:A40,A40,$AY$7:AY40,"Quên check out"))</f>
        <v>0</v>
      </c>
      <c r="BB40" s="143">
        <f t="shared" si="28"/>
        <v>0</v>
      </c>
    </row>
    <row r="41" spans="1:54" s="83" customFormat="1" ht="14.1" customHeight="1" x14ac:dyDescent="0.3">
      <c r="A41" s="103" t="s">
        <v>8</v>
      </c>
      <c r="B41" s="104" t="s">
        <v>17</v>
      </c>
      <c r="C41" s="105">
        <v>5000000</v>
      </c>
      <c r="D41" s="106">
        <v>43423</v>
      </c>
      <c r="E41" s="107">
        <v>43617</v>
      </c>
      <c r="F41" s="107">
        <v>73415</v>
      </c>
      <c r="G41" s="105">
        <v>26</v>
      </c>
      <c r="H41" s="105">
        <f t="shared" si="56"/>
        <v>2</v>
      </c>
      <c r="I41" s="105"/>
      <c r="J41" s="108">
        <v>43773</v>
      </c>
      <c r="K41" s="108" t="str">
        <f t="shared" si="57"/>
        <v>NV11343773VàoSáng</v>
      </c>
      <c r="L41" s="102" t="str">
        <f>IFERROR(VLOOKUP(K41,'1. Vân tay'!$F:$G,2,0),0)</f>
        <v>07:32:39</v>
      </c>
      <c r="M41" s="108" t="str">
        <f t="shared" si="58"/>
        <v>NV11343773RaSáng</v>
      </c>
      <c r="N41" s="102">
        <f>IFERROR(VLOOKUP(M41,'1. Vân tay'!$F:$G,2,0),0)</f>
        <v>0</v>
      </c>
      <c r="O41" s="108" t="str">
        <f t="shared" si="59"/>
        <v>NV11343773VàoChiều</v>
      </c>
      <c r="P41" s="102">
        <f>IFERROR(VLOOKUP(O41,'1. Vân tay'!$F:$G,2,0),0)</f>
        <v>0</v>
      </c>
      <c r="Q41" s="108" t="str">
        <f t="shared" si="60"/>
        <v>NV11343773RaChiều</v>
      </c>
      <c r="R41" s="102" t="str">
        <f>IFERROR(VLOOKUP(Q41,'1. Vân tay'!$F:$G,2,0),0)</f>
        <v>17:42:35</v>
      </c>
      <c r="S41" s="102">
        <f t="shared" si="61"/>
        <v>0</v>
      </c>
      <c r="T41" s="109">
        <v>0.33333333333333331</v>
      </c>
      <c r="U41" s="109">
        <v>0.5</v>
      </c>
      <c r="V41" s="109">
        <v>0.5625</v>
      </c>
      <c r="W41" s="109">
        <v>0.72916666666666663</v>
      </c>
      <c r="X41" s="102">
        <f>HDSD!$F$4</f>
        <v>5</v>
      </c>
      <c r="Y41" s="102">
        <f>SUMIFS('2. Đi muộn về sớm'!$K:$K,
'2. Đi muộn về sớm'!$B:$B,$A41,
'2. Đi muộn về sớm'!$D:$D,$J41)</f>
        <v>0</v>
      </c>
      <c r="Z41" s="110">
        <f t="shared" si="62"/>
        <v>0</v>
      </c>
      <c r="AA41" s="110">
        <f t="shared" si="63"/>
        <v>0</v>
      </c>
      <c r="AB41" s="111">
        <f t="shared" si="64"/>
        <v>0</v>
      </c>
      <c r="AC41" s="112">
        <f t="shared" si="8"/>
        <v>0</v>
      </c>
      <c r="AD41" s="113">
        <f t="shared" si="9"/>
        <v>0</v>
      </c>
      <c r="AE41" s="111">
        <f t="shared" si="65"/>
        <v>0</v>
      </c>
      <c r="AF41" s="113">
        <f t="shared" si="11"/>
        <v>0</v>
      </c>
      <c r="AG41" s="113">
        <f t="shared" si="12"/>
        <v>0</v>
      </c>
      <c r="AH41" s="114">
        <f t="shared" si="42"/>
        <v>10.165555555555557</v>
      </c>
      <c r="AI41" s="102" t="str">
        <f t="shared" si="14"/>
        <v>X:8</v>
      </c>
      <c r="AJ41" s="102" t="str">
        <f t="shared" si="15"/>
        <v>NV11343773</v>
      </c>
      <c r="AK41" s="102" t="str">
        <f>IF(OR(J41&lt;D41,J41&gt;F41),"",
IFERROR(INDEX('3. Đơn xin nghỉ'!$K:$K,MATCH('4. Tổng hợp dữ liệu'!AJ41,'3. Đơn xin nghỉ'!$I:$I,0),1),
IF(AND(AU41="Không CC",I41&lt;&gt;1),"Ro:8","")))</f>
        <v/>
      </c>
      <c r="AL41" s="102" t="str">
        <f t="shared" si="16"/>
        <v/>
      </c>
      <c r="AM41" s="102" t="str">
        <f t="shared" si="66"/>
        <v>X:8</v>
      </c>
      <c r="AN41" s="102" t="s">
        <v>92</v>
      </c>
      <c r="AO41" s="102"/>
      <c r="AP41" s="115">
        <f>IFERROR(VLOOKUP(AN41,'Quy đổi công'!A:D,3,0),0)</f>
        <v>1</v>
      </c>
      <c r="AQ41" s="115">
        <f>IFERROR(VLOOKUP(AN41,'Quy đổi công'!A:D,4,0),0)</f>
        <v>0</v>
      </c>
      <c r="AR41" s="115">
        <f t="shared" si="17"/>
        <v>0</v>
      </c>
      <c r="AS41" s="115">
        <f t="shared" si="67"/>
        <v>1</v>
      </c>
      <c r="AT41" s="115">
        <f t="shared" si="68"/>
        <v>0</v>
      </c>
      <c r="AU41" s="102" t="str">
        <f t="shared" si="23"/>
        <v/>
      </c>
      <c r="AV41" s="102" t="str">
        <f t="shared" si="24"/>
        <v/>
      </c>
      <c r="AW41" s="102" t="str">
        <f t="shared" si="25"/>
        <v/>
      </c>
      <c r="AX41" s="102" t="str">
        <f t="shared" si="26"/>
        <v/>
      </c>
      <c r="AY41" s="102" t="str">
        <f t="shared" si="27"/>
        <v/>
      </c>
      <c r="AZ41" s="102"/>
      <c r="BA41" s="102">
        <f>IF(AV41&lt;&gt;0,COUNTIFS($A$7:A41,A41,$AV$7:AV41,"Quên check in"))
+IF(AW41&lt;&gt;0,COUNTIFS($A$7:A41,A41,$AW$7:AW41,"Quên check in"))
+IF(AX41&lt;&gt;0,COUNTIFS($A$7:A41,A41,$AX$7:AX41,"Quên check out"))
+IF(AY41&lt;&gt;0,COUNTIFS($A$7:A41,A41,$AY$7:AY41,"Quên check out"))</f>
        <v>0</v>
      </c>
      <c r="BB41" s="143">
        <f t="shared" si="28"/>
        <v>0</v>
      </c>
    </row>
    <row r="42" spans="1:54" s="83" customFormat="1" ht="14.1" customHeight="1" x14ac:dyDescent="0.3">
      <c r="A42" s="103" t="s">
        <v>9</v>
      </c>
      <c r="B42" s="104" t="s">
        <v>18</v>
      </c>
      <c r="C42" s="105">
        <v>4900000</v>
      </c>
      <c r="D42" s="106">
        <v>43437</v>
      </c>
      <c r="E42" s="107">
        <v>43617</v>
      </c>
      <c r="F42" s="107">
        <v>73415</v>
      </c>
      <c r="G42" s="105">
        <v>26</v>
      </c>
      <c r="H42" s="105">
        <f t="shared" si="56"/>
        <v>2</v>
      </c>
      <c r="I42" s="105"/>
      <c r="J42" s="108">
        <v>43773</v>
      </c>
      <c r="K42" s="108" t="str">
        <f t="shared" si="57"/>
        <v>NV11443773VàoSáng</v>
      </c>
      <c r="L42" s="102" t="str">
        <f>IFERROR(VLOOKUP(K42,'1. Vân tay'!$F:$G,2,0),0)</f>
        <v>07:57:24</v>
      </c>
      <c r="M42" s="108" t="str">
        <f t="shared" si="58"/>
        <v>NV11443773RaSáng</v>
      </c>
      <c r="N42" s="102">
        <f>IFERROR(VLOOKUP(M42,'1. Vân tay'!$F:$G,2,0),0)</f>
        <v>0</v>
      </c>
      <c r="O42" s="108" t="str">
        <f t="shared" si="59"/>
        <v>NV11443773VàoChiều</v>
      </c>
      <c r="P42" s="102">
        <f>IFERROR(VLOOKUP(O42,'1. Vân tay'!$F:$G,2,0),0)</f>
        <v>0</v>
      </c>
      <c r="Q42" s="108" t="str">
        <f t="shared" si="60"/>
        <v>NV11443773RaChiều</v>
      </c>
      <c r="R42" s="102" t="str">
        <f>IFERROR(VLOOKUP(Q42,'1. Vân tay'!$F:$G,2,0),0)</f>
        <v>17:35:46</v>
      </c>
      <c r="S42" s="102">
        <f t="shared" si="61"/>
        <v>0</v>
      </c>
      <c r="T42" s="109">
        <v>0.33333333333333331</v>
      </c>
      <c r="U42" s="109">
        <v>0.5</v>
      </c>
      <c r="V42" s="109">
        <v>0.5625</v>
      </c>
      <c r="W42" s="109">
        <v>0.72916666666666663</v>
      </c>
      <c r="X42" s="102">
        <f>HDSD!$F$4</f>
        <v>5</v>
      </c>
      <c r="Y42" s="102">
        <f>SUMIFS('2. Đi muộn về sớm'!$K:$K,
'2. Đi muộn về sớm'!$B:$B,$A42,
'2. Đi muộn về sớm'!$D:$D,$J42)</f>
        <v>0</v>
      </c>
      <c r="Z42" s="110">
        <f t="shared" si="62"/>
        <v>0</v>
      </c>
      <c r="AA42" s="110">
        <f t="shared" si="63"/>
        <v>0</v>
      </c>
      <c r="AB42" s="111">
        <f t="shared" si="64"/>
        <v>0</v>
      </c>
      <c r="AC42" s="112">
        <f t="shared" si="8"/>
        <v>0</v>
      </c>
      <c r="AD42" s="113">
        <f t="shared" si="9"/>
        <v>0</v>
      </c>
      <c r="AE42" s="111">
        <f t="shared" si="65"/>
        <v>0</v>
      </c>
      <c r="AF42" s="113">
        <f t="shared" si="11"/>
        <v>0</v>
      </c>
      <c r="AG42" s="113">
        <f t="shared" si="12"/>
        <v>0</v>
      </c>
      <c r="AH42" s="114">
        <f t="shared" si="42"/>
        <v>9.6394444444444431</v>
      </c>
      <c r="AI42" s="102" t="str">
        <f t="shared" si="14"/>
        <v>X:8</v>
      </c>
      <c r="AJ42" s="102" t="str">
        <f t="shared" si="15"/>
        <v>NV11443773</v>
      </c>
      <c r="AK42" s="102" t="str">
        <f>IF(OR(J42&lt;D42,J42&gt;F42),"",
IFERROR(INDEX('3. Đơn xin nghỉ'!$K:$K,MATCH('4. Tổng hợp dữ liệu'!AJ42,'3. Đơn xin nghỉ'!$I:$I,0),1),
IF(AND(AU42="Không CC",I42&lt;&gt;1),"Ro:8","")))</f>
        <v/>
      </c>
      <c r="AL42" s="102" t="str">
        <f t="shared" si="16"/>
        <v/>
      </c>
      <c r="AM42" s="102" t="str">
        <f t="shared" si="66"/>
        <v>X:8</v>
      </c>
      <c r="AN42" s="102" t="s">
        <v>92</v>
      </c>
      <c r="AO42" s="102"/>
      <c r="AP42" s="115">
        <f>IFERROR(VLOOKUP(AN42,'Quy đổi công'!A:D,3,0),0)</f>
        <v>1</v>
      </c>
      <c r="AQ42" s="115">
        <f>IFERROR(VLOOKUP(AN42,'Quy đổi công'!A:D,4,0),0)</f>
        <v>0</v>
      </c>
      <c r="AR42" s="115">
        <f t="shared" si="17"/>
        <v>0</v>
      </c>
      <c r="AS42" s="115">
        <f t="shared" si="67"/>
        <v>1</v>
      </c>
      <c r="AT42" s="115">
        <f t="shared" si="68"/>
        <v>0</v>
      </c>
      <c r="AU42" s="102" t="str">
        <f t="shared" si="23"/>
        <v/>
      </c>
      <c r="AV42" s="102" t="str">
        <f t="shared" si="24"/>
        <v/>
      </c>
      <c r="AW42" s="102" t="str">
        <f t="shared" si="25"/>
        <v/>
      </c>
      <c r="AX42" s="102" t="str">
        <f t="shared" si="26"/>
        <v/>
      </c>
      <c r="AY42" s="102" t="str">
        <f t="shared" si="27"/>
        <v/>
      </c>
      <c r="AZ42" s="102"/>
      <c r="BA42" s="102">
        <f>IF(AV42&lt;&gt;0,COUNTIFS($A$7:A42,A42,$AV$7:AV42,"Quên check in"))
+IF(AW42&lt;&gt;0,COUNTIFS($A$7:A42,A42,$AW$7:AW42,"Quên check in"))
+IF(AX42&lt;&gt;0,COUNTIFS($A$7:A42,A42,$AX$7:AX42,"Quên check out"))
+IF(AY42&lt;&gt;0,COUNTIFS($A$7:A42,A42,$AY$7:AY42,"Quên check out"))</f>
        <v>0</v>
      </c>
      <c r="BB42" s="143">
        <f t="shared" si="28"/>
        <v>0</v>
      </c>
    </row>
    <row r="43" spans="1:54" s="83" customFormat="1" ht="14.1" customHeight="1" x14ac:dyDescent="0.3">
      <c r="A43" s="103" t="s">
        <v>10</v>
      </c>
      <c r="B43" s="104" t="s">
        <v>19</v>
      </c>
      <c r="C43" s="105">
        <v>5000000</v>
      </c>
      <c r="D43" s="106">
        <v>43445</v>
      </c>
      <c r="E43" s="107">
        <v>43647</v>
      </c>
      <c r="F43" s="107">
        <v>73415</v>
      </c>
      <c r="G43" s="105">
        <v>26</v>
      </c>
      <c r="H43" s="105">
        <f t="shared" si="56"/>
        <v>2</v>
      </c>
      <c r="I43" s="105"/>
      <c r="J43" s="108">
        <v>43773</v>
      </c>
      <c r="K43" s="108" t="str">
        <f t="shared" si="57"/>
        <v>NV11843773VàoSáng</v>
      </c>
      <c r="L43" s="102" t="str">
        <f>IFERROR(VLOOKUP(K43,'1. Vân tay'!$F:$G,2,0),0)</f>
        <v>07:56:36</v>
      </c>
      <c r="M43" s="108" t="str">
        <f t="shared" si="58"/>
        <v>NV11843773RaSáng</v>
      </c>
      <c r="N43" s="102">
        <f>IFERROR(VLOOKUP(M43,'1. Vân tay'!$F:$G,2,0),0)</f>
        <v>0</v>
      </c>
      <c r="O43" s="108" t="str">
        <f t="shared" si="59"/>
        <v>NV11843773VàoChiều</v>
      </c>
      <c r="P43" s="102">
        <f>IFERROR(VLOOKUP(O43,'1. Vân tay'!$F:$G,2,0),0)</f>
        <v>0</v>
      </c>
      <c r="Q43" s="108" t="str">
        <f t="shared" si="60"/>
        <v>NV11843773RaChiều</v>
      </c>
      <c r="R43" s="102" t="str">
        <f>IFERROR(VLOOKUP(Q43,'1. Vân tay'!$F:$G,2,0),0)</f>
        <v>17:40:16</v>
      </c>
      <c r="S43" s="102">
        <f t="shared" si="61"/>
        <v>0</v>
      </c>
      <c r="T43" s="109">
        <v>0.33333333333333331</v>
      </c>
      <c r="U43" s="109">
        <v>0.5</v>
      </c>
      <c r="V43" s="109">
        <v>0.5625</v>
      </c>
      <c r="W43" s="109">
        <v>0.72916666666666663</v>
      </c>
      <c r="X43" s="102">
        <f>HDSD!$F$4</f>
        <v>5</v>
      </c>
      <c r="Y43" s="102">
        <f>SUMIFS('2. Đi muộn về sớm'!$K:$K,
'2. Đi muộn về sớm'!$B:$B,$A43,
'2. Đi muộn về sớm'!$D:$D,$J43)</f>
        <v>0</v>
      </c>
      <c r="Z43" s="110">
        <f t="shared" si="62"/>
        <v>0</v>
      </c>
      <c r="AA43" s="110">
        <f t="shared" si="63"/>
        <v>0</v>
      </c>
      <c r="AB43" s="111">
        <f t="shared" si="64"/>
        <v>0</v>
      </c>
      <c r="AC43" s="112">
        <f t="shared" si="8"/>
        <v>0</v>
      </c>
      <c r="AD43" s="113">
        <f t="shared" si="9"/>
        <v>0</v>
      </c>
      <c r="AE43" s="111">
        <f t="shared" si="65"/>
        <v>0</v>
      </c>
      <c r="AF43" s="113">
        <f t="shared" si="11"/>
        <v>0</v>
      </c>
      <c r="AG43" s="113">
        <f t="shared" si="12"/>
        <v>0</v>
      </c>
      <c r="AH43" s="114">
        <f t="shared" si="42"/>
        <v>9.7277777777777779</v>
      </c>
      <c r="AI43" s="102" t="str">
        <f t="shared" si="14"/>
        <v>X:8</v>
      </c>
      <c r="AJ43" s="102" t="str">
        <f t="shared" si="15"/>
        <v>NV11843773</v>
      </c>
      <c r="AK43" s="102" t="str">
        <f>IF(OR(J43&lt;D43,J43&gt;F43),"",
IFERROR(INDEX('3. Đơn xin nghỉ'!$K:$K,MATCH('4. Tổng hợp dữ liệu'!AJ43,'3. Đơn xin nghỉ'!$I:$I,0),1),
IF(AND(AU43="Không CC",I43&lt;&gt;1),"Ro:8","")))</f>
        <v/>
      </c>
      <c r="AL43" s="102" t="str">
        <f t="shared" si="16"/>
        <v/>
      </c>
      <c r="AM43" s="102" t="str">
        <f t="shared" si="66"/>
        <v>X:8</v>
      </c>
      <c r="AN43" s="102" t="s">
        <v>92</v>
      </c>
      <c r="AO43" s="102"/>
      <c r="AP43" s="115">
        <f>IFERROR(VLOOKUP(AN43,'Quy đổi công'!A:D,3,0),0)</f>
        <v>1</v>
      </c>
      <c r="AQ43" s="115">
        <f>IFERROR(VLOOKUP(AN43,'Quy đổi công'!A:D,4,0),0)</f>
        <v>0</v>
      </c>
      <c r="AR43" s="115">
        <f t="shared" si="17"/>
        <v>0</v>
      </c>
      <c r="AS43" s="115">
        <f t="shared" si="67"/>
        <v>1</v>
      </c>
      <c r="AT43" s="115">
        <f t="shared" si="68"/>
        <v>0</v>
      </c>
      <c r="AU43" s="102" t="str">
        <f t="shared" si="23"/>
        <v/>
      </c>
      <c r="AV43" s="102" t="str">
        <f t="shared" si="24"/>
        <v/>
      </c>
      <c r="AW43" s="102" t="str">
        <f t="shared" si="25"/>
        <v/>
      </c>
      <c r="AX43" s="102" t="str">
        <f t="shared" si="26"/>
        <v/>
      </c>
      <c r="AY43" s="102" t="str">
        <f t="shared" si="27"/>
        <v/>
      </c>
      <c r="AZ43" s="102"/>
      <c r="BA43" s="102">
        <f>IF(AV43&lt;&gt;0,COUNTIFS($A$7:A43,A43,$AV$7:AV43,"Quên check in"))
+IF(AW43&lt;&gt;0,COUNTIFS($A$7:A43,A43,$AW$7:AW43,"Quên check in"))
+IF(AX43&lt;&gt;0,COUNTIFS($A$7:A43,A43,$AX$7:AX43,"Quên check out"))
+IF(AY43&lt;&gt;0,COUNTIFS($A$7:A43,A43,$AY$7:AY43,"Quên check out"))</f>
        <v>0</v>
      </c>
      <c r="BB43" s="143">
        <f t="shared" si="28"/>
        <v>0</v>
      </c>
    </row>
    <row r="44" spans="1:54" s="83" customFormat="1" ht="14.1" customHeight="1" x14ac:dyDescent="0.3">
      <c r="A44" s="103" t="s">
        <v>11</v>
      </c>
      <c r="B44" s="104" t="s">
        <v>20</v>
      </c>
      <c r="C44" s="105">
        <v>4700000</v>
      </c>
      <c r="D44" s="106">
        <v>43467</v>
      </c>
      <c r="E44" s="107">
        <v>43617</v>
      </c>
      <c r="F44" s="107">
        <v>73415</v>
      </c>
      <c r="G44" s="105">
        <v>26</v>
      </c>
      <c r="H44" s="105">
        <f t="shared" si="56"/>
        <v>2</v>
      </c>
      <c r="I44" s="105"/>
      <c r="J44" s="108">
        <v>43773</v>
      </c>
      <c r="K44" s="108" t="str">
        <f t="shared" si="57"/>
        <v>NV12243773VàoSáng</v>
      </c>
      <c r="L44" s="102" t="str">
        <f>IFERROR(VLOOKUP(K44,'1. Vân tay'!$F:$G,2,0),0)</f>
        <v>08:00:48</v>
      </c>
      <c r="M44" s="108" t="str">
        <f t="shared" si="58"/>
        <v>NV12243773RaSáng</v>
      </c>
      <c r="N44" s="102">
        <f>IFERROR(VLOOKUP(M44,'1. Vân tay'!$F:$G,2,0),0)</f>
        <v>0</v>
      </c>
      <c r="O44" s="108" t="str">
        <f t="shared" si="59"/>
        <v>NV12243773VàoChiều</v>
      </c>
      <c r="P44" s="102">
        <f>IFERROR(VLOOKUP(O44,'1. Vân tay'!$F:$G,2,0),0)</f>
        <v>0</v>
      </c>
      <c r="Q44" s="108" t="str">
        <f t="shared" si="60"/>
        <v>NV12243773RaChiều</v>
      </c>
      <c r="R44" s="102" t="str">
        <f>IFERROR(VLOOKUP(Q44,'1. Vân tay'!$F:$G,2,0),0)</f>
        <v>17:33:11</v>
      </c>
      <c r="S44" s="102">
        <f t="shared" si="61"/>
        <v>0</v>
      </c>
      <c r="T44" s="109">
        <v>0.33333333333333331</v>
      </c>
      <c r="U44" s="109">
        <v>0.5</v>
      </c>
      <c r="V44" s="109">
        <v>0.5625</v>
      </c>
      <c r="W44" s="109">
        <v>0.72916666666666663</v>
      </c>
      <c r="X44" s="102">
        <f>HDSD!$F$4</f>
        <v>5</v>
      </c>
      <c r="Y44" s="102">
        <f>SUMIFS('2. Đi muộn về sớm'!$K:$K,
'2. Đi muộn về sớm'!$B:$B,$A44,
'2. Đi muộn về sớm'!$D:$D,$J44)</f>
        <v>0</v>
      </c>
      <c r="Z44" s="110">
        <f t="shared" si="62"/>
        <v>0.8</v>
      </c>
      <c r="AA44" s="110">
        <f t="shared" si="63"/>
        <v>0</v>
      </c>
      <c r="AB44" s="111">
        <f t="shared" si="64"/>
        <v>0.8</v>
      </c>
      <c r="AC44" s="112">
        <f t="shared" si="8"/>
        <v>0</v>
      </c>
      <c r="AD44" s="113">
        <f t="shared" si="9"/>
        <v>0</v>
      </c>
      <c r="AE44" s="111">
        <f t="shared" si="65"/>
        <v>0</v>
      </c>
      <c r="AF44" s="113">
        <f t="shared" si="11"/>
        <v>0</v>
      </c>
      <c r="AG44" s="113">
        <f t="shared" si="12"/>
        <v>0</v>
      </c>
      <c r="AH44" s="114">
        <f t="shared" si="42"/>
        <v>9.5397222222222222</v>
      </c>
      <c r="AI44" s="102" t="str">
        <f t="shared" si="14"/>
        <v>X:8</v>
      </c>
      <c r="AJ44" s="102" t="str">
        <f t="shared" si="15"/>
        <v>NV12243773</v>
      </c>
      <c r="AK44" s="102" t="str">
        <f>IF(OR(J44&lt;D44,J44&gt;F44),"",
IFERROR(INDEX('3. Đơn xin nghỉ'!$K:$K,MATCH('4. Tổng hợp dữ liệu'!AJ44,'3. Đơn xin nghỉ'!$I:$I,0),1),
IF(AND(AU44="Không CC",I44&lt;&gt;1),"Ro:8","")))</f>
        <v/>
      </c>
      <c r="AL44" s="102" t="str">
        <f t="shared" si="16"/>
        <v/>
      </c>
      <c r="AM44" s="102" t="str">
        <f t="shared" si="66"/>
        <v>X:8</v>
      </c>
      <c r="AN44" s="102" t="s">
        <v>92</v>
      </c>
      <c r="AO44" s="102"/>
      <c r="AP44" s="115">
        <f>IFERROR(VLOOKUP(AN44,'Quy đổi công'!A:D,3,0),0)</f>
        <v>1</v>
      </c>
      <c r="AQ44" s="115">
        <f>IFERROR(VLOOKUP(AN44,'Quy đổi công'!A:D,4,0),0)</f>
        <v>0</v>
      </c>
      <c r="AR44" s="115">
        <f t="shared" si="17"/>
        <v>0</v>
      </c>
      <c r="AS44" s="115">
        <f t="shared" si="67"/>
        <v>1</v>
      </c>
      <c r="AT44" s="115">
        <f t="shared" si="68"/>
        <v>0</v>
      </c>
      <c r="AU44" s="102" t="str">
        <f t="shared" si="23"/>
        <v/>
      </c>
      <c r="AV44" s="102" t="str">
        <f t="shared" si="24"/>
        <v/>
      </c>
      <c r="AW44" s="102" t="str">
        <f t="shared" si="25"/>
        <v/>
      </c>
      <c r="AX44" s="102" t="str">
        <f t="shared" si="26"/>
        <v/>
      </c>
      <c r="AY44" s="102" t="str">
        <f t="shared" si="27"/>
        <v/>
      </c>
      <c r="AZ44" s="102"/>
      <c r="BA44" s="102">
        <f>IF(AV44&lt;&gt;0,COUNTIFS($A$7:A44,A44,$AV$7:AV44,"Quên check in"))
+IF(AW44&lt;&gt;0,COUNTIFS($A$7:A44,A44,$AW$7:AW44,"Quên check in"))
+IF(AX44&lt;&gt;0,COUNTIFS($A$7:A44,A44,$AX$7:AX44,"Quên check out"))
+IF(AY44&lt;&gt;0,COUNTIFS($A$7:A44,A44,$AY$7:AY44,"Quên check out"))</f>
        <v>1</v>
      </c>
      <c r="BB44" s="143">
        <f t="shared" si="28"/>
        <v>0</v>
      </c>
    </row>
    <row r="45" spans="1:54" s="83" customFormat="1" ht="14.1" customHeight="1" x14ac:dyDescent="0.3">
      <c r="A45" s="103" t="s">
        <v>12</v>
      </c>
      <c r="B45" s="104" t="s">
        <v>21</v>
      </c>
      <c r="C45" s="105">
        <v>5000000</v>
      </c>
      <c r="D45" s="106">
        <v>43482</v>
      </c>
      <c r="E45" s="107">
        <v>43647</v>
      </c>
      <c r="F45" s="107">
        <v>73415</v>
      </c>
      <c r="G45" s="105">
        <v>26</v>
      </c>
      <c r="H45" s="105">
        <f t="shared" si="56"/>
        <v>2</v>
      </c>
      <c r="I45" s="105"/>
      <c r="J45" s="108">
        <v>43773</v>
      </c>
      <c r="K45" s="108" t="str">
        <f t="shared" si="57"/>
        <v>NV12343773VàoSáng</v>
      </c>
      <c r="L45" s="102">
        <f>IFERROR(VLOOKUP(K45,'1. Vân tay'!$F:$G,2,0),0)</f>
        <v>0</v>
      </c>
      <c r="M45" s="108" t="str">
        <f t="shared" si="58"/>
        <v>NV12343773RaSáng</v>
      </c>
      <c r="N45" s="102">
        <f>IFERROR(VLOOKUP(M45,'1. Vân tay'!$F:$G,2,0),0)</f>
        <v>0</v>
      </c>
      <c r="O45" s="108" t="str">
        <f t="shared" si="59"/>
        <v>NV12343773VàoChiều</v>
      </c>
      <c r="P45" s="102">
        <f>IFERROR(VLOOKUP(O45,'1. Vân tay'!$F:$G,2,0),0)</f>
        <v>0</v>
      </c>
      <c r="Q45" s="108" t="str">
        <f t="shared" si="60"/>
        <v>NV12343773RaChiều</v>
      </c>
      <c r="R45" s="102">
        <f>IFERROR(VLOOKUP(Q45,'1. Vân tay'!$F:$G,2,0),0)</f>
        <v>0</v>
      </c>
      <c r="S45" s="102">
        <f t="shared" si="61"/>
        <v>0</v>
      </c>
      <c r="T45" s="109">
        <v>0.33333333333333331</v>
      </c>
      <c r="U45" s="109">
        <v>0.5</v>
      </c>
      <c r="V45" s="109">
        <v>0.5625</v>
      </c>
      <c r="W45" s="109">
        <v>0.72916666666666663</v>
      </c>
      <c r="X45" s="102">
        <f>HDSD!$F$4</f>
        <v>5</v>
      </c>
      <c r="Y45" s="102">
        <f>SUMIFS('2. Đi muộn về sớm'!$K:$K,
'2. Đi muộn về sớm'!$B:$B,$A45,
'2. Đi muộn về sớm'!$D:$D,$J45)</f>
        <v>0</v>
      </c>
      <c r="Z45" s="110">
        <f t="shared" si="62"/>
        <v>0</v>
      </c>
      <c r="AA45" s="110">
        <f t="shared" si="63"/>
        <v>0</v>
      </c>
      <c r="AB45" s="111">
        <f t="shared" si="64"/>
        <v>0</v>
      </c>
      <c r="AC45" s="112">
        <f t="shared" si="8"/>
        <v>0</v>
      </c>
      <c r="AD45" s="113">
        <f t="shared" si="9"/>
        <v>0</v>
      </c>
      <c r="AE45" s="111">
        <f t="shared" si="65"/>
        <v>0</v>
      </c>
      <c r="AF45" s="113">
        <f t="shared" si="11"/>
        <v>0</v>
      </c>
      <c r="AG45" s="113">
        <f t="shared" si="12"/>
        <v>0</v>
      </c>
      <c r="AH45" s="114">
        <f t="shared" si="42"/>
        <v>0</v>
      </c>
      <c r="AI45" s="102" t="str">
        <f t="shared" si="14"/>
        <v/>
      </c>
      <c r="AJ45" s="102" t="str">
        <f t="shared" si="15"/>
        <v>NV12343773</v>
      </c>
      <c r="AK45" s="102" t="str">
        <f>IF(OR(J45&lt;D45,J45&gt;F45),"",
IFERROR(INDEX('3. Đơn xin nghỉ'!$K:$K,MATCH('4. Tổng hợp dữ liệu'!AJ45,'3. Đơn xin nghỉ'!$I:$I,0),1),
IF(AND(AU45="Không CC",I45&lt;&gt;1),"Ro:8","")))</f>
        <v>P:8</v>
      </c>
      <c r="AL45" s="102" t="str">
        <f t="shared" si="16"/>
        <v/>
      </c>
      <c r="AM45" s="102" t="str">
        <f t="shared" si="66"/>
        <v>P:8</v>
      </c>
      <c r="AN45" s="102" t="s">
        <v>82</v>
      </c>
      <c r="AO45" s="102"/>
      <c r="AP45" s="115">
        <f>IFERROR(VLOOKUP(AN45,'Quy đổi công'!A:D,3,0),0)</f>
        <v>1</v>
      </c>
      <c r="AQ45" s="115">
        <f>IFERROR(VLOOKUP(AN45,'Quy đổi công'!A:D,4,0),0)</f>
        <v>0</v>
      </c>
      <c r="AR45" s="115">
        <f t="shared" si="17"/>
        <v>0</v>
      </c>
      <c r="AS45" s="115">
        <f t="shared" si="67"/>
        <v>1</v>
      </c>
      <c r="AT45" s="115">
        <f t="shared" si="68"/>
        <v>0</v>
      </c>
      <c r="AU45" s="102" t="str">
        <f t="shared" si="23"/>
        <v>Không CC</v>
      </c>
      <c r="AV45" s="102" t="str">
        <f t="shared" si="24"/>
        <v/>
      </c>
      <c r="AW45" s="102" t="str">
        <f t="shared" si="25"/>
        <v/>
      </c>
      <c r="AX45" s="102" t="str">
        <f t="shared" si="26"/>
        <v/>
      </c>
      <c r="AY45" s="102" t="str">
        <f t="shared" si="27"/>
        <v/>
      </c>
      <c r="AZ45" s="102"/>
      <c r="BA45" s="102">
        <f>IF(AV45&lt;&gt;0,COUNTIFS($A$7:A45,A45,$AV$7:AV45,"Quên check in"))
+IF(AW45&lt;&gt;0,COUNTIFS($A$7:A45,A45,$AW$7:AW45,"Quên check in"))
+IF(AX45&lt;&gt;0,COUNTIFS($A$7:A45,A45,$AX$7:AX45,"Quên check out"))
+IF(AY45&lt;&gt;0,COUNTIFS($A$7:A45,A45,$AY$7:AY45,"Quên check out"))</f>
        <v>0</v>
      </c>
      <c r="BB45" s="143">
        <f t="shared" si="28"/>
        <v>0</v>
      </c>
    </row>
    <row r="46" spans="1:54" s="83" customFormat="1" ht="14.1" customHeight="1" x14ac:dyDescent="0.3">
      <c r="A46" s="103" t="s">
        <v>13</v>
      </c>
      <c r="B46" s="104" t="s">
        <v>22</v>
      </c>
      <c r="C46" s="105">
        <v>4700000</v>
      </c>
      <c r="D46" s="106">
        <v>43531</v>
      </c>
      <c r="E46" s="107">
        <v>43647</v>
      </c>
      <c r="F46" s="107">
        <v>73415</v>
      </c>
      <c r="G46" s="105">
        <v>26</v>
      </c>
      <c r="H46" s="105">
        <f t="shared" si="56"/>
        <v>2</v>
      </c>
      <c r="I46" s="105"/>
      <c r="J46" s="108">
        <v>43773</v>
      </c>
      <c r="K46" s="108" t="str">
        <f t="shared" si="57"/>
        <v>NV12643773VàoSáng</v>
      </c>
      <c r="L46" s="102" t="str">
        <f>IFERROR(VLOOKUP(K46,'1. Vân tay'!$F:$G,2,0),0)</f>
        <v>07:59:12</v>
      </c>
      <c r="M46" s="108" t="str">
        <f t="shared" si="58"/>
        <v>NV12643773RaSáng</v>
      </c>
      <c r="N46" s="102">
        <f>IFERROR(VLOOKUP(M46,'1. Vân tay'!$F:$G,2,0),0)</f>
        <v>0</v>
      </c>
      <c r="O46" s="108" t="str">
        <f t="shared" si="59"/>
        <v>NV12643773VàoChiều</v>
      </c>
      <c r="P46" s="102">
        <f>IFERROR(VLOOKUP(O46,'1. Vân tay'!$F:$G,2,0),0)</f>
        <v>0</v>
      </c>
      <c r="Q46" s="108" t="str">
        <f t="shared" si="60"/>
        <v>NV12643773RaChiều</v>
      </c>
      <c r="R46" s="102" t="str">
        <f>IFERROR(VLOOKUP(Q46,'1. Vân tay'!$F:$G,2,0),0)</f>
        <v>17:33:06</v>
      </c>
      <c r="S46" s="102">
        <f t="shared" si="61"/>
        <v>0</v>
      </c>
      <c r="T46" s="109">
        <v>0.33333333333333331</v>
      </c>
      <c r="U46" s="109">
        <v>0.5</v>
      </c>
      <c r="V46" s="109">
        <v>0.5625</v>
      </c>
      <c r="W46" s="109">
        <v>0.72916666666666663</v>
      </c>
      <c r="X46" s="102">
        <f>HDSD!$F$4</f>
        <v>5</v>
      </c>
      <c r="Y46" s="102">
        <f>SUMIFS('2. Đi muộn về sớm'!$K:$K,
'2. Đi muộn về sớm'!$B:$B,$A46,
'2. Đi muộn về sớm'!$D:$D,$J46)</f>
        <v>0</v>
      </c>
      <c r="Z46" s="110">
        <f t="shared" si="62"/>
        <v>0</v>
      </c>
      <c r="AA46" s="110">
        <f t="shared" si="63"/>
        <v>0</v>
      </c>
      <c r="AB46" s="111">
        <f t="shared" si="64"/>
        <v>0</v>
      </c>
      <c r="AC46" s="112">
        <f t="shared" si="8"/>
        <v>0</v>
      </c>
      <c r="AD46" s="113">
        <f t="shared" si="9"/>
        <v>0</v>
      </c>
      <c r="AE46" s="111">
        <f t="shared" si="65"/>
        <v>0</v>
      </c>
      <c r="AF46" s="113">
        <f t="shared" si="11"/>
        <v>0</v>
      </c>
      <c r="AG46" s="113">
        <f t="shared" si="12"/>
        <v>0</v>
      </c>
      <c r="AH46" s="114">
        <f t="shared" si="42"/>
        <v>9.5650000000000013</v>
      </c>
      <c r="AI46" s="102" t="str">
        <f t="shared" si="14"/>
        <v>X:8</v>
      </c>
      <c r="AJ46" s="102" t="str">
        <f t="shared" si="15"/>
        <v>NV12643773</v>
      </c>
      <c r="AK46" s="102" t="str">
        <f>IF(OR(J46&lt;D46,J46&gt;F46),"",
IFERROR(INDEX('3. Đơn xin nghỉ'!$K:$K,MATCH('4. Tổng hợp dữ liệu'!AJ46,'3. Đơn xin nghỉ'!$I:$I,0),1),
IF(AND(AU46="Không CC",I46&lt;&gt;1),"Ro:8","")))</f>
        <v/>
      </c>
      <c r="AL46" s="102" t="str">
        <f t="shared" si="16"/>
        <v/>
      </c>
      <c r="AM46" s="102" t="str">
        <f t="shared" si="66"/>
        <v>X:8</v>
      </c>
      <c r="AN46" s="102" t="s">
        <v>92</v>
      </c>
      <c r="AO46" s="102"/>
      <c r="AP46" s="115">
        <f>IFERROR(VLOOKUP(AN46,'Quy đổi công'!A:D,3,0),0)</f>
        <v>1</v>
      </c>
      <c r="AQ46" s="115">
        <f>IFERROR(VLOOKUP(AN46,'Quy đổi công'!A:D,4,0),0)</f>
        <v>0</v>
      </c>
      <c r="AR46" s="115">
        <f t="shared" si="17"/>
        <v>0</v>
      </c>
      <c r="AS46" s="115">
        <f t="shared" si="67"/>
        <v>1</v>
      </c>
      <c r="AT46" s="115">
        <f t="shared" si="68"/>
        <v>0</v>
      </c>
      <c r="AU46" s="102" t="str">
        <f t="shared" si="23"/>
        <v/>
      </c>
      <c r="AV46" s="102" t="str">
        <f t="shared" si="24"/>
        <v/>
      </c>
      <c r="AW46" s="102" t="str">
        <f t="shared" si="25"/>
        <v/>
      </c>
      <c r="AX46" s="102" t="str">
        <f t="shared" si="26"/>
        <v/>
      </c>
      <c r="AY46" s="102" t="str">
        <f t="shared" si="27"/>
        <v/>
      </c>
      <c r="AZ46" s="102"/>
      <c r="BA46" s="102">
        <f>IF(AV46&lt;&gt;0,COUNTIFS($A$7:A46,A46,$AV$7:AV46,"Quên check in"))
+IF(AW46&lt;&gt;0,COUNTIFS($A$7:A46,A46,$AW$7:AW46,"Quên check in"))
+IF(AX46&lt;&gt;0,COUNTIFS($A$7:A46,A46,$AX$7:AX46,"Quên check out"))
+IF(AY46&lt;&gt;0,COUNTIFS($A$7:A46,A46,$AY$7:AY46,"Quên check out"))</f>
        <v>0</v>
      </c>
      <c r="BB46" s="143">
        <f t="shared" si="28"/>
        <v>0</v>
      </c>
    </row>
    <row r="47" spans="1:54" s="83" customFormat="1" ht="14.1" customHeight="1" x14ac:dyDescent="0.3">
      <c r="A47" s="103" t="s">
        <v>4</v>
      </c>
      <c r="B47" s="104" t="s">
        <v>14</v>
      </c>
      <c r="C47" s="105">
        <v>4700000</v>
      </c>
      <c r="D47" s="106">
        <v>43388</v>
      </c>
      <c r="E47" s="107">
        <v>43525</v>
      </c>
      <c r="F47" s="107">
        <v>73415</v>
      </c>
      <c r="G47" s="105">
        <v>26</v>
      </c>
      <c r="H47" s="105">
        <f t="shared" ref="H47:H56" si="69">WEEKDAY(J47,1)</f>
        <v>3</v>
      </c>
      <c r="I47" s="105"/>
      <c r="J47" s="108">
        <v>43774</v>
      </c>
      <c r="K47" s="108" t="str">
        <f t="shared" ref="K47:K56" si="70">$A47&amp;$J47&amp;"Vào"&amp;"Sáng"</f>
        <v>NV10143774VàoSáng</v>
      </c>
      <c r="L47" s="102">
        <f>IFERROR(VLOOKUP(K47,'1. Vân tay'!$F:$G,2,0),0)</f>
        <v>0</v>
      </c>
      <c r="M47" s="108" t="str">
        <f t="shared" ref="M47:M56" si="71">$A47&amp;$J47&amp;"Ra"&amp;"Sáng"</f>
        <v>NV10143774RaSáng</v>
      </c>
      <c r="N47" s="102">
        <f>IFERROR(VLOOKUP(M47,'1. Vân tay'!$F:$G,2,0),0)</f>
        <v>0</v>
      </c>
      <c r="O47" s="108" t="str">
        <f t="shared" ref="O47:O56" si="72">$A47&amp;$J47&amp;"Vào"&amp;"Chiều"</f>
        <v>NV10143774VàoChiều</v>
      </c>
      <c r="P47" s="102">
        <f>IFERROR(VLOOKUP(O47,'1. Vân tay'!$F:$G,2,0),0)</f>
        <v>0</v>
      </c>
      <c r="Q47" s="108" t="str">
        <f t="shared" ref="Q47:Q56" si="73">$A47&amp;$J47&amp;"Ra"&amp;"Chiều"</f>
        <v>NV10143774RaChiều</v>
      </c>
      <c r="R47" s="102">
        <f>IFERROR(VLOOKUP(Q47,'1. Vân tay'!$F:$G,2,0),0)</f>
        <v>0</v>
      </c>
      <c r="S47" s="102">
        <f t="shared" ref="S47:S56" si="74">IF(OR(
(AND(L47&lt;&gt;0,P47&lt;&gt;0)),
(AND(N47&lt;&gt;0,R47&lt;&gt;0))),"Kiểm tra",0)</f>
        <v>0</v>
      </c>
      <c r="T47" s="109">
        <v>0.33333333333333331</v>
      </c>
      <c r="U47" s="109">
        <v>0.5</v>
      </c>
      <c r="V47" s="109">
        <v>0.5625</v>
      </c>
      <c r="W47" s="109">
        <v>0.72916666666666663</v>
      </c>
      <c r="X47" s="102">
        <f>HDSD!$F$4</f>
        <v>5</v>
      </c>
      <c r="Y47" s="102">
        <f>SUMIFS('2. Đi muộn về sớm'!$K:$K,
'2. Đi muộn về sớm'!$B:$B,$A47,
'2. Đi muộn về sớm'!$D:$D,$J47)</f>
        <v>0</v>
      </c>
      <c r="Z47" s="110">
        <f t="shared" ref="Z47:Z56" si="75">IF(L47=0,0,IFERROR((HOUR(L47-T47)*60+MINUTE(L47-T47)+SECOND(L47-T47)/60),0))
+IF(N47=0,0, IFERROR((HOUR(U47-N47)*60+MINUTE(U47-N47)+SECOND(U47-N47)/60),0))
+IF(P47=0,0, IFERROR((HOUR(P47-V47)*60+MINUTE(P47-V47)+SECOND(P47-V47)/60),0))
+IF(R47=0,0, IFERROR((HOUR(W47-R47)*60+MINUTE(W47-R47)+SECOND(W47-R47)/60),0))</f>
        <v>0</v>
      </c>
      <c r="AA47" s="110">
        <f t="shared" ref="AA47:AA56" si="76">IF(L47=0,0,IFERROR((HOUR(L47-"09:00:00")*60+MINUTE(L47-"09:00:00")+SECOND(L47-"09:00:00")/60),0))
+IF(N47=0,0, IFERROR((HOUR(U47-N47)*60+MINUTE(U47-N47)+SECOND(U47-N47)/60),0))
+IF(P47=0,0, IFERROR((HOUR(P47-V47)*60+MINUTE(P47-V47)+SECOND(P47-V47)/60),0))
+IF(R47=0,0, IFERROR((HOUR("16:30:00"-R47)*60+MINUTE("16:30:00"-R47)+SECOND("16:30:00"-R47)/60),0))</f>
        <v>0</v>
      </c>
      <c r="AB47" s="111">
        <f t="shared" ref="AB47:AB56" si="77">Z47-AA47</f>
        <v>0</v>
      </c>
      <c r="AC47" s="112">
        <f t="shared" si="8"/>
        <v>0</v>
      </c>
      <c r="AD47" s="113">
        <f t="shared" si="9"/>
        <v>0</v>
      </c>
      <c r="AE47" s="111">
        <f t="shared" ref="AE47:AE56" si="78">AA47/60/8</f>
        <v>0</v>
      </c>
      <c r="AF47" s="113">
        <f t="shared" si="11"/>
        <v>0</v>
      </c>
      <c r="AG47" s="113">
        <f t="shared" si="12"/>
        <v>0</v>
      </c>
      <c r="AH47" s="114">
        <f t="shared" si="42"/>
        <v>0</v>
      </c>
      <c r="AI47" s="102" t="str">
        <f t="shared" si="14"/>
        <v/>
      </c>
      <c r="AJ47" s="102" t="str">
        <f t="shared" si="15"/>
        <v>NV10143774</v>
      </c>
      <c r="AK47" s="102" t="str">
        <f>IF(OR(J47&lt;D47,J47&gt;F47),"",
IFERROR(INDEX('3. Đơn xin nghỉ'!$K:$K,MATCH('4. Tổng hợp dữ liệu'!AJ47,'3. Đơn xin nghỉ'!$I:$I,0),1),
IF(AND(AU47="Không CC",I47&lt;&gt;1),"Ro:8","")))</f>
        <v>Ro:8</v>
      </c>
      <c r="AL47" s="102" t="str">
        <f t="shared" si="16"/>
        <v/>
      </c>
      <c r="AM47" s="102" t="str">
        <f t="shared" ref="AM47:AM56" si="79">IF(OR(AI47="",AK47=""),AI47&amp;AK47,AI47&amp;","&amp;AK47)&amp;AL47</f>
        <v>Ro:8</v>
      </c>
      <c r="AN47" s="102" t="s">
        <v>83</v>
      </c>
      <c r="AO47" s="102"/>
      <c r="AP47" s="115">
        <f>IFERROR(VLOOKUP(AN47,'Quy đổi công'!A:D,3,0),0)</f>
        <v>0</v>
      </c>
      <c r="AQ47" s="115">
        <f>IFERROR(VLOOKUP(AN47,'Quy đổi công'!A:D,4,0),0)</f>
        <v>1</v>
      </c>
      <c r="AR47" s="115">
        <f t="shared" si="17"/>
        <v>0</v>
      </c>
      <c r="AS47" s="115">
        <f t="shared" ref="AS47:AS56" si="80">AP47-AR47</f>
        <v>0</v>
      </c>
      <c r="AT47" s="115">
        <f t="shared" ref="AT47:AT56" si="81">IF(AN47="P8",1)
+IF(OR(AN47="X:4,P:4",AN47="P:4,Rv:4",AN47="P:4,Ro:4"),1/2)</f>
        <v>0</v>
      </c>
      <c r="AU47" s="102" t="str">
        <f t="shared" si="23"/>
        <v>Không CC</v>
      </c>
      <c r="AV47" s="102" t="str">
        <f t="shared" si="24"/>
        <v/>
      </c>
      <c r="AW47" s="102" t="str">
        <f t="shared" si="25"/>
        <v/>
      </c>
      <c r="AX47" s="102" t="str">
        <f t="shared" si="26"/>
        <v/>
      </c>
      <c r="AY47" s="102" t="str">
        <f t="shared" si="27"/>
        <v/>
      </c>
      <c r="AZ47" s="102"/>
      <c r="BA47" s="102">
        <f>IF(AV47&lt;&gt;0,COUNTIFS($A$7:A47,A47,$AV$7:AV47,"Quên check in"))
+IF(AW47&lt;&gt;0,COUNTIFS($A$7:A47,A47,$AW$7:AW47,"Quên check in"))
+IF(AX47&lt;&gt;0,COUNTIFS($A$7:A47,A47,$AX$7:AX47,"Quên check out"))
+IF(AY47&lt;&gt;0,COUNTIFS($A$7:A47,A47,$AY$7:AY47,"Quên check out"))</f>
        <v>0</v>
      </c>
      <c r="BB47" s="143">
        <f t="shared" si="28"/>
        <v>0</v>
      </c>
    </row>
    <row r="48" spans="1:54" s="83" customFormat="1" ht="14.1" customHeight="1" x14ac:dyDescent="0.3">
      <c r="A48" s="103" t="s">
        <v>5</v>
      </c>
      <c r="B48" s="104" t="s">
        <v>28</v>
      </c>
      <c r="C48" s="105">
        <v>10000000</v>
      </c>
      <c r="D48" s="106">
        <v>43409</v>
      </c>
      <c r="E48" s="107">
        <v>43678</v>
      </c>
      <c r="F48" s="107">
        <v>73415</v>
      </c>
      <c r="G48" s="105">
        <v>26</v>
      </c>
      <c r="H48" s="105">
        <f t="shared" si="69"/>
        <v>3</v>
      </c>
      <c r="I48" s="105"/>
      <c r="J48" s="108">
        <v>43774</v>
      </c>
      <c r="K48" s="108" t="str">
        <f t="shared" si="70"/>
        <v>NV10743774VàoSáng</v>
      </c>
      <c r="L48" s="102" t="str">
        <f>IFERROR(VLOOKUP(K48,'1. Vân tay'!$F:$G,2,0),0)</f>
        <v>07:55:23</v>
      </c>
      <c r="M48" s="108" t="str">
        <f t="shared" si="71"/>
        <v>NV10743774RaSáng</v>
      </c>
      <c r="N48" s="102">
        <f>IFERROR(VLOOKUP(M48,'1. Vân tay'!$F:$G,2,0),0)</f>
        <v>0</v>
      </c>
      <c r="O48" s="108" t="str">
        <f t="shared" si="72"/>
        <v>NV10743774VàoChiều</v>
      </c>
      <c r="P48" s="102">
        <f>IFERROR(VLOOKUP(O48,'1. Vân tay'!$F:$G,2,0),0)</f>
        <v>0</v>
      </c>
      <c r="Q48" s="108" t="str">
        <f t="shared" si="73"/>
        <v>NV10743774RaChiều</v>
      </c>
      <c r="R48" s="102" t="str">
        <f>IFERROR(VLOOKUP(Q48,'1. Vân tay'!$F:$G,2,0),0)</f>
        <v>17:32:18</v>
      </c>
      <c r="S48" s="102">
        <f t="shared" si="74"/>
        <v>0</v>
      </c>
      <c r="T48" s="109">
        <v>0.33333333333333331</v>
      </c>
      <c r="U48" s="109">
        <v>0.5</v>
      </c>
      <c r="V48" s="109">
        <v>0.5625</v>
      </c>
      <c r="W48" s="109">
        <v>0.72916666666666663</v>
      </c>
      <c r="X48" s="102">
        <f>HDSD!$F$4</f>
        <v>5</v>
      </c>
      <c r="Y48" s="102">
        <f>SUMIFS('2. Đi muộn về sớm'!$K:$K,
'2. Đi muộn về sớm'!$B:$B,$A48,
'2. Đi muộn về sớm'!$D:$D,$J48)</f>
        <v>0</v>
      </c>
      <c r="Z48" s="110">
        <f t="shared" si="75"/>
        <v>0</v>
      </c>
      <c r="AA48" s="110">
        <f t="shared" si="76"/>
        <v>0</v>
      </c>
      <c r="AB48" s="111">
        <f t="shared" si="77"/>
        <v>0</v>
      </c>
      <c r="AC48" s="112">
        <f t="shared" si="8"/>
        <v>0</v>
      </c>
      <c r="AD48" s="113">
        <f t="shared" si="9"/>
        <v>0</v>
      </c>
      <c r="AE48" s="111">
        <f t="shared" si="78"/>
        <v>0</v>
      </c>
      <c r="AF48" s="113">
        <f t="shared" si="11"/>
        <v>0</v>
      </c>
      <c r="AG48" s="113">
        <f t="shared" si="12"/>
        <v>0</v>
      </c>
      <c r="AH48" s="114">
        <f t="shared" si="42"/>
        <v>9.6152777777777771</v>
      </c>
      <c r="AI48" s="102" t="str">
        <f t="shared" si="14"/>
        <v>X:8</v>
      </c>
      <c r="AJ48" s="102" t="str">
        <f t="shared" si="15"/>
        <v>NV10743774</v>
      </c>
      <c r="AK48" s="102" t="str">
        <f>IF(OR(J48&lt;D48,J48&gt;F48),"",
IFERROR(INDEX('3. Đơn xin nghỉ'!$K:$K,MATCH('4. Tổng hợp dữ liệu'!AJ48,'3. Đơn xin nghỉ'!$I:$I,0),1),
IF(AND(AU48="Không CC",I48&lt;&gt;1),"Ro:8","")))</f>
        <v/>
      </c>
      <c r="AL48" s="102" t="str">
        <f t="shared" si="16"/>
        <v/>
      </c>
      <c r="AM48" s="102" t="str">
        <f t="shared" si="79"/>
        <v>X:8</v>
      </c>
      <c r="AN48" s="102" t="s">
        <v>92</v>
      </c>
      <c r="AO48" s="102"/>
      <c r="AP48" s="115">
        <f>IFERROR(VLOOKUP(AN48,'Quy đổi công'!A:D,3,0),0)</f>
        <v>1</v>
      </c>
      <c r="AQ48" s="115">
        <f>IFERROR(VLOOKUP(AN48,'Quy đổi công'!A:D,4,0),0)</f>
        <v>0</v>
      </c>
      <c r="AR48" s="115">
        <f t="shared" si="17"/>
        <v>0</v>
      </c>
      <c r="AS48" s="115">
        <f t="shared" si="80"/>
        <v>1</v>
      </c>
      <c r="AT48" s="115">
        <f t="shared" si="81"/>
        <v>0</v>
      </c>
      <c r="AU48" s="102" t="str">
        <f t="shared" si="23"/>
        <v/>
      </c>
      <c r="AV48" s="102" t="str">
        <f t="shared" si="24"/>
        <v/>
      </c>
      <c r="AW48" s="102" t="str">
        <f t="shared" si="25"/>
        <v/>
      </c>
      <c r="AX48" s="102" t="str">
        <f t="shared" si="26"/>
        <v/>
      </c>
      <c r="AY48" s="102" t="str">
        <f t="shared" si="27"/>
        <v/>
      </c>
      <c r="AZ48" s="102"/>
      <c r="BA48" s="102">
        <f>IF(AV48&lt;&gt;0,COUNTIFS($A$7:A48,A48,$AV$7:AV48,"Quên check in"))
+IF(AW48&lt;&gt;0,COUNTIFS($A$7:A48,A48,$AW$7:AW48,"Quên check in"))
+IF(AX48&lt;&gt;0,COUNTIFS($A$7:A48,A48,$AX$7:AX48,"Quên check out"))
+IF(AY48&lt;&gt;0,COUNTIFS($A$7:A48,A48,$AY$7:AY48,"Quên check out"))</f>
        <v>0</v>
      </c>
      <c r="BB48" s="143">
        <f t="shared" si="28"/>
        <v>0</v>
      </c>
    </row>
    <row r="49" spans="1:54" s="83" customFormat="1" ht="14.1" customHeight="1" x14ac:dyDescent="0.3">
      <c r="A49" s="103" t="s">
        <v>6</v>
      </c>
      <c r="B49" s="104" t="s">
        <v>15</v>
      </c>
      <c r="C49" s="105">
        <v>4700000</v>
      </c>
      <c r="D49" s="106">
        <v>43409</v>
      </c>
      <c r="E49" s="107">
        <v>43617</v>
      </c>
      <c r="F49" s="107">
        <v>73415</v>
      </c>
      <c r="G49" s="105">
        <v>26</v>
      </c>
      <c r="H49" s="105">
        <f t="shared" si="69"/>
        <v>3</v>
      </c>
      <c r="I49" s="105"/>
      <c r="J49" s="108">
        <v>43774</v>
      </c>
      <c r="K49" s="108" t="str">
        <f t="shared" si="70"/>
        <v>NV10843774VàoSáng</v>
      </c>
      <c r="L49" s="102">
        <f>IFERROR(VLOOKUP(K49,'1. Vân tay'!$F:$G,2,0),0)</f>
        <v>0</v>
      </c>
      <c r="M49" s="108" t="str">
        <f t="shared" si="71"/>
        <v>NV10843774RaSáng</v>
      </c>
      <c r="N49" s="102">
        <f>IFERROR(VLOOKUP(M49,'1. Vân tay'!$F:$G,2,0),0)</f>
        <v>0</v>
      </c>
      <c r="O49" s="108" t="str">
        <f t="shared" si="72"/>
        <v>NV10843774VàoChiều</v>
      </c>
      <c r="P49" s="102">
        <f>IFERROR(VLOOKUP(O49,'1. Vân tay'!$F:$G,2,0),0)</f>
        <v>0</v>
      </c>
      <c r="Q49" s="108" t="str">
        <f t="shared" si="73"/>
        <v>NV10843774RaChiều</v>
      </c>
      <c r="R49" s="102">
        <f>IFERROR(VLOOKUP(Q49,'1. Vân tay'!$F:$G,2,0),0)</f>
        <v>0</v>
      </c>
      <c r="S49" s="102">
        <f t="shared" si="74"/>
        <v>0</v>
      </c>
      <c r="T49" s="109">
        <v>0.33333333333333331</v>
      </c>
      <c r="U49" s="109">
        <v>0.5</v>
      </c>
      <c r="V49" s="109">
        <v>0.5625</v>
      </c>
      <c r="W49" s="109">
        <v>0.72916666666666663</v>
      </c>
      <c r="X49" s="102">
        <f>HDSD!$F$4</f>
        <v>5</v>
      </c>
      <c r="Y49" s="102">
        <f>SUMIFS('2. Đi muộn về sớm'!$K:$K,
'2. Đi muộn về sớm'!$B:$B,$A49,
'2. Đi muộn về sớm'!$D:$D,$J49)</f>
        <v>0</v>
      </c>
      <c r="Z49" s="110">
        <f t="shared" si="75"/>
        <v>0</v>
      </c>
      <c r="AA49" s="110">
        <f t="shared" si="76"/>
        <v>0</v>
      </c>
      <c r="AB49" s="111">
        <f t="shared" si="77"/>
        <v>0</v>
      </c>
      <c r="AC49" s="112">
        <f t="shared" si="8"/>
        <v>0</v>
      </c>
      <c r="AD49" s="113">
        <f t="shared" si="9"/>
        <v>0</v>
      </c>
      <c r="AE49" s="111">
        <f t="shared" si="78"/>
        <v>0</v>
      </c>
      <c r="AF49" s="113">
        <f t="shared" si="11"/>
        <v>0</v>
      </c>
      <c r="AG49" s="113">
        <f t="shared" si="12"/>
        <v>0</v>
      </c>
      <c r="AH49" s="114">
        <f t="shared" si="42"/>
        <v>0</v>
      </c>
      <c r="AI49" s="102" t="str">
        <f t="shared" si="14"/>
        <v/>
      </c>
      <c r="AJ49" s="102" t="str">
        <f t="shared" si="15"/>
        <v>NV10843774</v>
      </c>
      <c r="AK49" s="102" t="str">
        <f>IF(OR(J49&lt;D49,J49&gt;F49),"",
IFERROR(INDEX('3. Đơn xin nghỉ'!$K:$K,MATCH('4. Tổng hợp dữ liệu'!AJ49,'3. Đơn xin nghỉ'!$I:$I,0),1),
IF(AND(AU49="Không CC",I49&lt;&gt;1),"Ro:8","")))</f>
        <v>Ro:8</v>
      </c>
      <c r="AL49" s="102" t="str">
        <f t="shared" si="16"/>
        <v/>
      </c>
      <c r="AM49" s="102" t="str">
        <f t="shared" si="79"/>
        <v>Ro:8</v>
      </c>
      <c r="AN49" s="102" t="s">
        <v>81</v>
      </c>
      <c r="AO49" s="102"/>
      <c r="AP49" s="115">
        <f>IFERROR(VLOOKUP(AN49,'Quy đổi công'!A:D,3,0),0)</f>
        <v>0</v>
      </c>
      <c r="AQ49" s="115">
        <f>IFERROR(VLOOKUP(AN49,'Quy đổi công'!A:D,4,0),0)</f>
        <v>1</v>
      </c>
      <c r="AR49" s="115">
        <f t="shared" si="17"/>
        <v>0</v>
      </c>
      <c r="AS49" s="115">
        <f t="shared" si="80"/>
        <v>0</v>
      </c>
      <c r="AT49" s="115">
        <f t="shared" si="81"/>
        <v>0</v>
      </c>
      <c r="AU49" s="102" t="str">
        <f t="shared" si="23"/>
        <v>Không CC</v>
      </c>
      <c r="AV49" s="102" t="str">
        <f t="shared" si="24"/>
        <v/>
      </c>
      <c r="AW49" s="102" t="str">
        <f t="shared" si="25"/>
        <v/>
      </c>
      <c r="AX49" s="102" t="str">
        <f t="shared" si="26"/>
        <v/>
      </c>
      <c r="AY49" s="102" t="str">
        <f t="shared" si="27"/>
        <v/>
      </c>
      <c r="AZ49" s="102"/>
      <c r="BA49" s="102">
        <f>IF(AV49&lt;&gt;0,COUNTIFS($A$7:A49,A49,$AV$7:AV49,"Quên check in"))
+IF(AW49&lt;&gt;0,COUNTIFS($A$7:A49,A49,$AW$7:AW49,"Quên check in"))
+IF(AX49&lt;&gt;0,COUNTIFS($A$7:A49,A49,$AX$7:AX49,"Quên check out"))
+IF(AY49&lt;&gt;0,COUNTIFS($A$7:A49,A49,$AY$7:AY49,"Quên check out"))</f>
        <v>0</v>
      </c>
      <c r="BB49" s="143">
        <f t="shared" si="28"/>
        <v>0</v>
      </c>
    </row>
    <row r="50" spans="1:54" s="83" customFormat="1" ht="14.1" customHeight="1" x14ac:dyDescent="0.3">
      <c r="A50" s="103" t="s">
        <v>7</v>
      </c>
      <c r="B50" s="104" t="s">
        <v>16</v>
      </c>
      <c r="C50" s="105">
        <v>5000000</v>
      </c>
      <c r="D50" s="106">
        <v>43416</v>
      </c>
      <c r="E50" s="107">
        <v>43617</v>
      </c>
      <c r="F50" s="107">
        <v>73415</v>
      </c>
      <c r="G50" s="105">
        <v>26</v>
      </c>
      <c r="H50" s="105">
        <f t="shared" si="69"/>
        <v>3</v>
      </c>
      <c r="I50" s="105"/>
      <c r="J50" s="108">
        <v>43774</v>
      </c>
      <c r="K50" s="108" t="str">
        <f t="shared" si="70"/>
        <v>NV10943774VàoSáng</v>
      </c>
      <c r="L50" s="102" t="str">
        <f>IFERROR(VLOOKUP(K50,'1. Vân tay'!$F:$G,2,0),0)</f>
        <v>07:49:56</v>
      </c>
      <c r="M50" s="108" t="str">
        <f t="shared" si="71"/>
        <v>NV10943774RaSáng</v>
      </c>
      <c r="N50" s="102">
        <f>IFERROR(VLOOKUP(M50,'1. Vân tay'!$F:$G,2,0),0)</f>
        <v>0</v>
      </c>
      <c r="O50" s="108" t="str">
        <f t="shared" si="72"/>
        <v>NV10943774VàoChiều</v>
      </c>
      <c r="P50" s="102">
        <f>IFERROR(VLOOKUP(O50,'1. Vân tay'!$F:$G,2,0),0)</f>
        <v>0</v>
      </c>
      <c r="Q50" s="108" t="str">
        <f t="shared" si="73"/>
        <v>NV10943774RaChiều</v>
      </c>
      <c r="R50" s="102" t="str">
        <f>IFERROR(VLOOKUP(Q50,'1. Vân tay'!$F:$G,2,0),0)</f>
        <v>17:38:03</v>
      </c>
      <c r="S50" s="102">
        <f t="shared" si="74"/>
        <v>0</v>
      </c>
      <c r="T50" s="109">
        <v>0.33333333333333331</v>
      </c>
      <c r="U50" s="109">
        <v>0.5</v>
      </c>
      <c r="V50" s="109">
        <v>0.5625</v>
      </c>
      <c r="W50" s="109">
        <v>0.72916666666666663</v>
      </c>
      <c r="X50" s="102">
        <f>HDSD!$F$4</f>
        <v>5</v>
      </c>
      <c r="Y50" s="102">
        <f>SUMIFS('2. Đi muộn về sớm'!$K:$K,
'2. Đi muộn về sớm'!$B:$B,$A50,
'2. Đi muộn về sớm'!$D:$D,$J50)</f>
        <v>0</v>
      </c>
      <c r="Z50" s="110">
        <f t="shared" si="75"/>
        <v>0</v>
      </c>
      <c r="AA50" s="110">
        <f t="shared" si="76"/>
        <v>0</v>
      </c>
      <c r="AB50" s="111">
        <f t="shared" si="77"/>
        <v>0</v>
      </c>
      <c r="AC50" s="112">
        <f t="shared" si="8"/>
        <v>0</v>
      </c>
      <c r="AD50" s="113">
        <f t="shared" si="9"/>
        <v>0</v>
      </c>
      <c r="AE50" s="111">
        <f t="shared" si="78"/>
        <v>0</v>
      </c>
      <c r="AF50" s="113">
        <f t="shared" si="11"/>
        <v>0</v>
      </c>
      <c r="AG50" s="113">
        <f t="shared" si="12"/>
        <v>0</v>
      </c>
      <c r="AH50" s="114">
        <f t="shared" si="42"/>
        <v>9.8019444444444446</v>
      </c>
      <c r="AI50" s="102" t="str">
        <f t="shared" si="14"/>
        <v>X:8</v>
      </c>
      <c r="AJ50" s="102" t="str">
        <f t="shared" si="15"/>
        <v>NV10943774</v>
      </c>
      <c r="AK50" s="102" t="str">
        <f>IF(OR(J50&lt;D50,J50&gt;F50),"",
IFERROR(INDEX('3. Đơn xin nghỉ'!$K:$K,MATCH('4. Tổng hợp dữ liệu'!AJ50,'3. Đơn xin nghỉ'!$I:$I,0),1),
IF(AND(AU50="Không CC",I50&lt;&gt;1),"Ro:8","")))</f>
        <v/>
      </c>
      <c r="AL50" s="102" t="str">
        <f t="shared" si="16"/>
        <v/>
      </c>
      <c r="AM50" s="102" t="str">
        <f t="shared" si="79"/>
        <v>X:8</v>
      </c>
      <c r="AN50" s="102" t="s">
        <v>92</v>
      </c>
      <c r="AO50" s="102"/>
      <c r="AP50" s="115">
        <f>IFERROR(VLOOKUP(AN50,'Quy đổi công'!A:D,3,0),0)</f>
        <v>1</v>
      </c>
      <c r="AQ50" s="115">
        <f>IFERROR(VLOOKUP(AN50,'Quy đổi công'!A:D,4,0),0)</f>
        <v>0</v>
      </c>
      <c r="AR50" s="115">
        <f t="shared" si="17"/>
        <v>0</v>
      </c>
      <c r="AS50" s="115">
        <f t="shared" si="80"/>
        <v>1</v>
      </c>
      <c r="AT50" s="115">
        <f t="shared" si="81"/>
        <v>0</v>
      </c>
      <c r="AU50" s="102" t="str">
        <f t="shared" si="23"/>
        <v/>
      </c>
      <c r="AV50" s="102" t="str">
        <f t="shared" si="24"/>
        <v/>
      </c>
      <c r="AW50" s="102" t="str">
        <f t="shared" si="25"/>
        <v/>
      </c>
      <c r="AX50" s="102" t="str">
        <f t="shared" si="26"/>
        <v/>
      </c>
      <c r="AY50" s="102" t="str">
        <f t="shared" si="27"/>
        <v/>
      </c>
      <c r="AZ50" s="102"/>
      <c r="BA50" s="102">
        <f>IF(AV50&lt;&gt;0,COUNTIFS($A$7:A50,A50,$AV$7:AV50,"Quên check in"))
+IF(AW50&lt;&gt;0,COUNTIFS($A$7:A50,A50,$AW$7:AW50,"Quên check in"))
+IF(AX50&lt;&gt;0,COUNTIFS($A$7:A50,A50,$AX$7:AX50,"Quên check out"))
+IF(AY50&lt;&gt;0,COUNTIFS($A$7:A50,A50,$AY$7:AY50,"Quên check out"))</f>
        <v>0</v>
      </c>
      <c r="BB50" s="143">
        <f t="shared" si="28"/>
        <v>0</v>
      </c>
    </row>
    <row r="51" spans="1:54" s="83" customFormat="1" ht="14.1" customHeight="1" x14ac:dyDescent="0.3">
      <c r="A51" s="103" t="s">
        <v>8</v>
      </c>
      <c r="B51" s="104" t="s">
        <v>17</v>
      </c>
      <c r="C51" s="105">
        <v>5000000</v>
      </c>
      <c r="D51" s="106">
        <v>43423</v>
      </c>
      <c r="E51" s="107">
        <v>43617</v>
      </c>
      <c r="F51" s="107">
        <v>73415</v>
      </c>
      <c r="G51" s="105">
        <v>26</v>
      </c>
      <c r="H51" s="105">
        <f t="shared" si="69"/>
        <v>3</v>
      </c>
      <c r="I51" s="105"/>
      <c r="J51" s="108">
        <v>43774</v>
      </c>
      <c r="K51" s="108" t="str">
        <f t="shared" si="70"/>
        <v>NV11343774VàoSáng</v>
      </c>
      <c r="L51" s="102" t="str">
        <f>IFERROR(VLOOKUP(K51,'1. Vân tay'!$F:$G,2,0),0)</f>
        <v>07:20:28</v>
      </c>
      <c r="M51" s="108" t="str">
        <f t="shared" si="71"/>
        <v>NV11343774RaSáng</v>
      </c>
      <c r="N51" s="102">
        <f>IFERROR(VLOOKUP(M51,'1. Vân tay'!$F:$G,2,0),0)</f>
        <v>0</v>
      </c>
      <c r="O51" s="108" t="str">
        <f t="shared" si="72"/>
        <v>NV11343774VàoChiều</v>
      </c>
      <c r="P51" s="102">
        <f>IFERROR(VLOOKUP(O51,'1. Vân tay'!$F:$G,2,0),0)</f>
        <v>0</v>
      </c>
      <c r="Q51" s="108" t="str">
        <f t="shared" si="73"/>
        <v>NV11343774RaChiều</v>
      </c>
      <c r="R51" s="102" t="str">
        <f>IFERROR(VLOOKUP(Q51,'1. Vân tay'!$F:$G,2,0),0)</f>
        <v>17:47:29</v>
      </c>
      <c r="S51" s="102">
        <f t="shared" si="74"/>
        <v>0</v>
      </c>
      <c r="T51" s="109">
        <v>0.33333333333333331</v>
      </c>
      <c r="U51" s="109">
        <v>0.5</v>
      </c>
      <c r="V51" s="109">
        <v>0.5625</v>
      </c>
      <c r="W51" s="109">
        <v>0.72916666666666663</v>
      </c>
      <c r="X51" s="102">
        <f>HDSD!$F$4</f>
        <v>5</v>
      </c>
      <c r="Y51" s="102">
        <f>SUMIFS('2. Đi muộn về sớm'!$K:$K,
'2. Đi muộn về sớm'!$B:$B,$A51,
'2. Đi muộn về sớm'!$D:$D,$J51)</f>
        <v>0</v>
      </c>
      <c r="Z51" s="110">
        <f t="shared" si="75"/>
        <v>0</v>
      </c>
      <c r="AA51" s="110">
        <f t="shared" si="76"/>
        <v>0</v>
      </c>
      <c r="AB51" s="111">
        <f t="shared" si="77"/>
        <v>0</v>
      </c>
      <c r="AC51" s="112">
        <f t="shared" si="8"/>
        <v>0</v>
      </c>
      <c r="AD51" s="113">
        <f t="shared" si="9"/>
        <v>0</v>
      </c>
      <c r="AE51" s="111">
        <f t="shared" si="78"/>
        <v>0</v>
      </c>
      <c r="AF51" s="113">
        <f t="shared" si="11"/>
        <v>0</v>
      </c>
      <c r="AG51" s="113">
        <f t="shared" si="12"/>
        <v>0</v>
      </c>
      <c r="AH51" s="114">
        <f t="shared" si="42"/>
        <v>10.450277777777776</v>
      </c>
      <c r="AI51" s="102" t="str">
        <f t="shared" si="14"/>
        <v>X:8</v>
      </c>
      <c r="AJ51" s="102" t="str">
        <f t="shared" si="15"/>
        <v>NV11343774</v>
      </c>
      <c r="AK51" s="102" t="str">
        <f>IF(OR(J51&lt;D51,J51&gt;F51),"",
IFERROR(INDEX('3. Đơn xin nghỉ'!$K:$K,MATCH('4. Tổng hợp dữ liệu'!AJ51,'3. Đơn xin nghỉ'!$I:$I,0),1),
IF(AND(AU51="Không CC",I51&lt;&gt;1),"Ro:8","")))</f>
        <v/>
      </c>
      <c r="AL51" s="102" t="str">
        <f t="shared" si="16"/>
        <v/>
      </c>
      <c r="AM51" s="102" t="str">
        <f t="shared" si="79"/>
        <v>X:8</v>
      </c>
      <c r="AN51" s="102" t="s">
        <v>92</v>
      </c>
      <c r="AO51" s="102"/>
      <c r="AP51" s="115">
        <f>IFERROR(VLOOKUP(AN51,'Quy đổi công'!A:D,3,0),0)</f>
        <v>1</v>
      </c>
      <c r="AQ51" s="115">
        <f>IFERROR(VLOOKUP(AN51,'Quy đổi công'!A:D,4,0),0)</f>
        <v>0</v>
      </c>
      <c r="AR51" s="115">
        <f t="shared" si="17"/>
        <v>0</v>
      </c>
      <c r="AS51" s="115">
        <f t="shared" si="80"/>
        <v>1</v>
      </c>
      <c r="AT51" s="115">
        <f t="shared" si="81"/>
        <v>0</v>
      </c>
      <c r="AU51" s="102" t="str">
        <f t="shared" si="23"/>
        <v/>
      </c>
      <c r="AV51" s="102" t="str">
        <f t="shared" si="24"/>
        <v/>
      </c>
      <c r="AW51" s="102" t="str">
        <f t="shared" si="25"/>
        <v/>
      </c>
      <c r="AX51" s="102" t="str">
        <f t="shared" si="26"/>
        <v/>
      </c>
      <c r="AY51" s="102" t="str">
        <f t="shared" si="27"/>
        <v/>
      </c>
      <c r="AZ51" s="102"/>
      <c r="BA51" s="102">
        <f>IF(AV51&lt;&gt;0,COUNTIFS($A$7:A51,A51,$AV$7:AV51,"Quên check in"))
+IF(AW51&lt;&gt;0,COUNTIFS($A$7:A51,A51,$AW$7:AW51,"Quên check in"))
+IF(AX51&lt;&gt;0,COUNTIFS($A$7:A51,A51,$AX$7:AX51,"Quên check out"))
+IF(AY51&lt;&gt;0,COUNTIFS($A$7:A51,A51,$AY$7:AY51,"Quên check out"))</f>
        <v>0</v>
      </c>
      <c r="BB51" s="143">
        <f t="shared" si="28"/>
        <v>0</v>
      </c>
    </row>
    <row r="52" spans="1:54" s="83" customFormat="1" ht="14.1" customHeight="1" x14ac:dyDescent="0.3">
      <c r="A52" s="103" t="s">
        <v>9</v>
      </c>
      <c r="B52" s="104" t="s">
        <v>18</v>
      </c>
      <c r="C52" s="105">
        <v>4900000</v>
      </c>
      <c r="D52" s="106">
        <v>43437</v>
      </c>
      <c r="E52" s="107">
        <v>43617</v>
      </c>
      <c r="F52" s="107">
        <v>73415</v>
      </c>
      <c r="G52" s="105">
        <v>26</v>
      </c>
      <c r="H52" s="105">
        <f t="shared" si="69"/>
        <v>3</v>
      </c>
      <c r="I52" s="105"/>
      <c r="J52" s="108">
        <v>43774</v>
      </c>
      <c r="K52" s="108" t="str">
        <f t="shared" si="70"/>
        <v>NV11443774VàoSáng</v>
      </c>
      <c r="L52" s="102" t="str">
        <f>IFERROR(VLOOKUP(K52,'1. Vân tay'!$F:$G,2,0),0)</f>
        <v>07:52:56</v>
      </c>
      <c r="M52" s="108" t="str">
        <f t="shared" si="71"/>
        <v>NV11443774RaSáng</v>
      </c>
      <c r="N52" s="102">
        <f>IFERROR(VLOOKUP(M52,'1. Vân tay'!$F:$G,2,0),0)</f>
        <v>0</v>
      </c>
      <c r="O52" s="108" t="str">
        <f t="shared" si="72"/>
        <v>NV11443774VàoChiều</v>
      </c>
      <c r="P52" s="102">
        <f>IFERROR(VLOOKUP(O52,'1. Vân tay'!$F:$G,2,0),0)</f>
        <v>0</v>
      </c>
      <c r="Q52" s="108" t="str">
        <f t="shared" si="73"/>
        <v>NV11443774RaChiều</v>
      </c>
      <c r="R52" s="102" t="str">
        <f>IFERROR(VLOOKUP(Q52,'1. Vân tay'!$F:$G,2,0),0)</f>
        <v>17:31:41</v>
      </c>
      <c r="S52" s="102">
        <f t="shared" si="74"/>
        <v>0</v>
      </c>
      <c r="T52" s="109">
        <v>0.33333333333333331</v>
      </c>
      <c r="U52" s="109">
        <v>0.5</v>
      </c>
      <c r="V52" s="109">
        <v>0.5625</v>
      </c>
      <c r="W52" s="109">
        <v>0.72916666666666663</v>
      </c>
      <c r="X52" s="102">
        <f>HDSD!$F$4</f>
        <v>5</v>
      </c>
      <c r="Y52" s="102">
        <f>SUMIFS('2. Đi muộn về sớm'!$K:$K,
'2. Đi muộn về sớm'!$B:$B,$A52,
'2. Đi muộn về sớm'!$D:$D,$J52)</f>
        <v>60</v>
      </c>
      <c r="Z52" s="110">
        <f t="shared" si="75"/>
        <v>0</v>
      </c>
      <c r="AA52" s="110">
        <f t="shared" si="76"/>
        <v>0</v>
      </c>
      <c r="AB52" s="111">
        <f t="shared" si="77"/>
        <v>0</v>
      </c>
      <c r="AC52" s="112">
        <f t="shared" si="8"/>
        <v>0</v>
      </c>
      <c r="AD52" s="113">
        <f t="shared" si="9"/>
        <v>0</v>
      </c>
      <c r="AE52" s="111">
        <f t="shared" si="78"/>
        <v>0</v>
      </c>
      <c r="AF52" s="113">
        <f t="shared" si="11"/>
        <v>0</v>
      </c>
      <c r="AG52" s="113">
        <f t="shared" si="12"/>
        <v>0</v>
      </c>
      <c r="AH52" s="114">
        <f t="shared" si="42"/>
        <v>9.6458333333333321</v>
      </c>
      <c r="AI52" s="102" t="str">
        <f t="shared" si="14"/>
        <v>X:8</v>
      </c>
      <c r="AJ52" s="102" t="str">
        <f t="shared" si="15"/>
        <v>NV11443774</v>
      </c>
      <c r="AK52" s="102" t="str">
        <f>IF(OR(J52&lt;D52,J52&gt;F52),"",
IFERROR(INDEX('3. Đơn xin nghỉ'!$K:$K,MATCH('4. Tổng hợp dữ liệu'!AJ52,'3. Đơn xin nghỉ'!$I:$I,0),1),
IF(AND(AU52="Không CC",I52&lt;&gt;1),"Ro:8","")))</f>
        <v/>
      </c>
      <c r="AL52" s="102" t="str">
        <f t="shared" si="16"/>
        <v/>
      </c>
      <c r="AM52" s="102" t="str">
        <f t="shared" si="79"/>
        <v>X:8</v>
      </c>
      <c r="AN52" s="102" t="s">
        <v>92</v>
      </c>
      <c r="AO52" s="102"/>
      <c r="AP52" s="115">
        <f>IFERROR(VLOOKUP(AN52,'Quy đổi công'!A:D,3,0),0)</f>
        <v>1</v>
      </c>
      <c r="AQ52" s="115">
        <f>IFERROR(VLOOKUP(AN52,'Quy đổi công'!A:D,4,0),0)</f>
        <v>0</v>
      </c>
      <c r="AR52" s="115">
        <f t="shared" si="17"/>
        <v>0</v>
      </c>
      <c r="AS52" s="115">
        <f t="shared" si="80"/>
        <v>1</v>
      </c>
      <c r="AT52" s="115">
        <f t="shared" si="81"/>
        <v>0</v>
      </c>
      <c r="AU52" s="102" t="str">
        <f t="shared" si="23"/>
        <v/>
      </c>
      <c r="AV52" s="102" t="str">
        <f t="shared" si="24"/>
        <v/>
      </c>
      <c r="AW52" s="102" t="str">
        <f t="shared" si="25"/>
        <v/>
      </c>
      <c r="AX52" s="102" t="str">
        <f t="shared" si="26"/>
        <v/>
      </c>
      <c r="AY52" s="102" t="str">
        <f t="shared" si="27"/>
        <v/>
      </c>
      <c r="AZ52" s="102"/>
      <c r="BA52" s="102">
        <f>IF(AV52&lt;&gt;0,COUNTIFS($A$7:A52,A52,$AV$7:AV52,"Quên check in"))
+IF(AW52&lt;&gt;0,COUNTIFS($A$7:A52,A52,$AW$7:AW52,"Quên check in"))
+IF(AX52&lt;&gt;0,COUNTIFS($A$7:A52,A52,$AX$7:AX52,"Quên check out"))
+IF(AY52&lt;&gt;0,COUNTIFS($A$7:A52,A52,$AY$7:AY52,"Quên check out"))</f>
        <v>0</v>
      </c>
      <c r="BB52" s="143">
        <f t="shared" si="28"/>
        <v>0</v>
      </c>
    </row>
    <row r="53" spans="1:54" s="83" customFormat="1" ht="14.1" customHeight="1" x14ac:dyDescent="0.3">
      <c r="A53" s="103" t="s">
        <v>10</v>
      </c>
      <c r="B53" s="104" t="s">
        <v>19</v>
      </c>
      <c r="C53" s="105">
        <v>5000000</v>
      </c>
      <c r="D53" s="106">
        <v>43445</v>
      </c>
      <c r="E53" s="107">
        <v>43647</v>
      </c>
      <c r="F53" s="107">
        <v>73415</v>
      </c>
      <c r="G53" s="105">
        <v>26</v>
      </c>
      <c r="H53" s="105">
        <f t="shared" si="69"/>
        <v>3</v>
      </c>
      <c r="I53" s="105"/>
      <c r="J53" s="108">
        <v>43774</v>
      </c>
      <c r="K53" s="108" t="str">
        <f t="shared" si="70"/>
        <v>NV11843774VàoSáng</v>
      </c>
      <c r="L53" s="102" t="str">
        <f>IFERROR(VLOOKUP(K53,'1. Vân tay'!$F:$G,2,0),0)</f>
        <v>07:55:53</v>
      </c>
      <c r="M53" s="108" t="str">
        <f t="shared" si="71"/>
        <v>NV11843774RaSáng</v>
      </c>
      <c r="N53" s="102">
        <f>IFERROR(VLOOKUP(M53,'1. Vân tay'!$F:$G,2,0),0)</f>
        <v>0</v>
      </c>
      <c r="O53" s="108" t="str">
        <f t="shared" si="72"/>
        <v>NV11843774VàoChiều</v>
      </c>
      <c r="P53" s="102">
        <f>IFERROR(VLOOKUP(O53,'1. Vân tay'!$F:$G,2,0),0)</f>
        <v>0</v>
      </c>
      <c r="Q53" s="108" t="str">
        <f t="shared" si="73"/>
        <v>NV11843774RaChiều</v>
      </c>
      <c r="R53" s="102" t="str">
        <f>IFERROR(VLOOKUP(Q53,'1. Vân tay'!$F:$G,2,0),0)</f>
        <v>17:39:20</v>
      </c>
      <c r="S53" s="102">
        <f t="shared" si="74"/>
        <v>0</v>
      </c>
      <c r="T53" s="109">
        <v>0.33333333333333331</v>
      </c>
      <c r="U53" s="109">
        <v>0.5</v>
      </c>
      <c r="V53" s="109">
        <v>0.5625</v>
      </c>
      <c r="W53" s="109">
        <v>0.72916666666666663</v>
      </c>
      <c r="X53" s="102">
        <f>HDSD!$F$4</f>
        <v>5</v>
      </c>
      <c r="Y53" s="102">
        <f>SUMIFS('2. Đi muộn về sớm'!$K:$K,
'2. Đi muộn về sớm'!$B:$B,$A53,
'2. Đi muộn về sớm'!$D:$D,$J53)</f>
        <v>0</v>
      </c>
      <c r="Z53" s="110">
        <f t="shared" si="75"/>
        <v>0</v>
      </c>
      <c r="AA53" s="110">
        <f t="shared" si="76"/>
        <v>0</v>
      </c>
      <c r="AB53" s="111">
        <f t="shared" si="77"/>
        <v>0</v>
      </c>
      <c r="AC53" s="112">
        <f t="shared" si="8"/>
        <v>0</v>
      </c>
      <c r="AD53" s="113">
        <f t="shared" si="9"/>
        <v>0</v>
      </c>
      <c r="AE53" s="111">
        <f t="shared" si="78"/>
        <v>0</v>
      </c>
      <c r="AF53" s="113">
        <f t="shared" si="11"/>
        <v>0</v>
      </c>
      <c r="AG53" s="113">
        <f t="shared" si="12"/>
        <v>0</v>
      </c>
      <c r="AH53" s="114">
        <f t="shared" si="42"/>
        <v>9.7241666666666671</v>
      </c>
      <c r="AI53" s="102" t="str">
        <f t="shared" si="14"/>
        <v>X:8</v>
      </c>
      <c r="AJ53" s="102" t="str">
        <f t="shared" si="15"/>
        <v>NV11843774</v>
      </c>
      <c r="AK53" s="102" t="str">
        <f>IF(OR(J53&lt;D53,J53&gt;F53),"",
IFERROR(INDEX('3. Đơn xin nghỉ'!$K:$K,MATCH('4. Tổng hợp dữ liệu'!AJ53,'3. Đơn xin nghỉ'!$I:$I,0),1),
IF(AND(AU53="Không CC",I53&lt;&gt;1),"Ro:8","")))</f>
        <v/>
      </c>
      <c r="AL53" s="102" t="str">
        <f t="shared" si="16"/>
        <v/>
      </c>
      <c r="AM53" s="102" t="str">
        <f t="shared" si="79"/>
        <v>X:8</v>
      </c>
      <c r="AN53" s="102" t="s">
        <v>92</v>
      </c>
      <c r="AO53" s="102"/>
      <c r="AP53" s="115">
        <f>IFERROR(VLOOKUP(AN53,'Quy đổi công'!A:D,3,0),0)</f>
        <v>1</v>
      </c>
      <c r="AQ53" s="115">
        <f>IFERROR(VLOOKUP(AN53,'Quy đổi công'!A:D,4,0),0)</f>
        <v>0</v>
      </c>
      <c r="AR53" s="115">
        <f t="shared" si="17"/>
        <v>0</v>
      </c>
      <c r="AS53" s="115">
        <f t="shared" si="80"/>
        <v>1</v>
      </c>
      <c r="AT53" s="115">
        <f t="shared" si="81"/>
        <v>0</v>
      </c>
      <c r="AU53" s="102" t="str">
        <f t="shared" si="23"/>
        <v/>
      </c>
      <c r="AV53" s="102" t="str">
        <f t="shared" si="24"/>
        <v/>
      </c>
      <c r="AW53" s="102" t="str">
        <f t="shared" si="25"/>
        <v/>
      </c>
      <c r="AX53" s="102" t="str">
        <f t="shared" si="26"/>
        <v/>
      </c>
      <c r="AY53" s="102" t="str">
        <f t="shared" si="27"/>
        <v/>
      </c>
      <c r="AZ53" s="102"/>
      <c r="BA53" s="102">
        <f>IF(AV53&lt;&gt;0,COUNTIFS($A$7:A53,A53,$AV$7:AV53,"Quên check in"))
+IF(AW53&lt;&gt;0,COUNTIFS($A$7:A53,A53,$AW$7:AW53,"Quên check in"))
+IF(AX53&lt;&gt;0,COUNTIFS($A$7:A53,A53,$AX$7:AX53,"Quên check out"))
+IF(AY53&lt;&gt;0,COUNTIFS($A$7:A53,A53,$AY$7:AY53,"Quên check out"))</f>
        <v>0</v>
      </c>
      <c r="BB53" s="143">
        <f t="shared" si="28"/>
        <v>0</v>
      </c>
    </row>
    <row r="54" spans="1:54" s="83" customFormat="1" ht="14.1" customHeight="1" x14ac:dyDescent="0.3">
      <c r="A54" s="103" t="s">
        <v>11</v>
      </c>
      <c r="B54" s="104" t="s">
        <v>20</v>
      </c>
      <c r="C54" s="105">
        <v>4700000</v>
      </c>
      <c r="D54" s="106">
        <v>43467</v>
      </c>
      <c r="E54" s="107">
        <v>43617</v>
      </c>
      <c r="F54" s="107">
        <v>73415</v>
      </c>
      <c r="G54" s="105">
        <v>26</v>
      </c>
      <c r="H54" s="105">
        <f t="shared" si="69"/>
        <v>3</v>
      </c>
      <c r="I54" s="105"/>
      <c r="J54" s="108">
        <v>43774</v>
      </c>
      <c r="K54" s="108" t="str">
        <f t="shared" si="70"/>
        <v>NV12243774VàoSáng</v>
      </c>
      <c r="L54" s="102" t="str">
        <f>IFERROR(VLOOKUP(K54,'1. Vân tay'!$F:$G,2,0),0)</f>
        <v>08:08:08</v>
      </c>
      <c r="M54" s="108" t="str">
        <f t="shared" si="71"/>
        <v>NV12243774RaSáng</v>
      </c>
      <c r="N54" s="102">
        <f>IFERROR(VLOOKUP(M54,'1. Vân tay'!$F:$G,2,0),0)</f>
        <v>0</v>
      </c>
      <c r="O54" s="108" t="str">
        <f t="shared" si="72"/>
        <v>NV12243774VàoChiều</v>
      </c>
      <c r="P54" s="102">
        <f>IFERROR(VLOOKUP(O54,'1. Vân tay'!$F:$G,2,0),0)</f>
        <v>0</v>
      </c>
      <c r="Q54" s="108" t="str">
        <f t="shared" si="73"/>
        <v>NV12243774RaChiều</v>
      </c>
      <c r="R54" s="102" t="str">
        <f>IFERROR(VLOOKUP(Q54,'1. Vân tay'!$F:$G,2,0),0)</f>
        <v>17:33:00</v>
      </c>
      <c r="S54" s="102">
        <f t="shared" si="74"/>
        <v>0</v>
      </c>
      <c r="T54" s="109">
        <v>0.33333333333333331</v>
      </c>
      <c r="U54" s="109">
        <v>0.5</v>
      </c>
      <c r="V54" s="109">
        <v>0.5625</v>
      </c>
      <c r="W54" s="109">
        <v>0.72916666666666663</v>
      </c>
      <c r="X54" s="102">
        <f>HDSD!$F$4</f>
        <v>5</v>
      </c>
      <c r="Y54" s="102">
        <f>SUMIFS('2. Đi muộn về sớm'!$K:$K,
'2. Đi muộn về sớm'!$B:$B,$A54,
'2. Đi muộn về sớm'!$D:$D,$J54)</f>
        <v>0</v>
      </c>
      <c r="Z54" s="110">
        <f t="shared" si="75"/>
        <v>8.1333333333333329</v>
      </c>
      <c r="AA54" s="110">
        <f t="shared" si="76"/>
        <v>0</v>
      </c>
      <c r="AB54" s="111">
        <f t="shared" si="77"/>
        <v>8.1333333333333329</v>
      </c>
      <c r="AC54" s="112">
        <f t="shared" si="8"/>
        <v>3.1333333333333329</v>
      </c>
      <c r="AD54" s="113">
        <f t="shared" si="9"/>
        <v>6266.6666666666661</v>
      </c>
      <c r="AE54" s="111">
        <f t="shared" si="78"/>
        <v>0</v>
      </c>
      <c r="AF54" s="113">
        <f t="shared" si="11"/>
        <v>0</v>
      </c>
      <c r="AG54" s="113">
        <f t="shared" si="12"/>
        <v>6266.6666666666661</v>
      </c>
      <c r="AH54" s="114">
        <f t="shared" si="42"/>
        <v>9.4144444444444453</v>
      </c>
      <c r="AI54" s="102" t="str">
        <f t="shared" si="14"/>
        <v>X:8</v>
      </c>
      <c r="AJ54" s="102" t="str">
        <f t="shared" si="15"/>
        <v>NV12243774</v>
      </c>
      <c r="AK54" s="102" t="str">
        <f>IF(OR(J54&lt;D54,J54&gt;F54),"",
IFERROR(INDEX('3. Đơn xin nghỉ'!$K:$K,MATCH('4. Tổng hợp dữ liệu'!AJ54,'3. Đơn xin nghỉ'!$I:$I,0),1),
IF(AND(AU54="Không CC",I54&lt;&gt;1),"Ro:8","")))</f>
        <v/>
      </c>
      <c r="AL54" s="102" t="str">
        <f t="shared" si="16"/>
        <v/>
      </c>
      <c r="AM54" s="102" t="str">
        <f t="shared" si="79"/>
        <v>X:8</v>
      </c>
      <c r="AN54" s="102" t="s">
        <v>92</v>
      </c>
      <c r="AO54" s="102"/>
      <c r="AP54" s="115">
        <f>IFERROR(VLOOKUP(AN54,'Quy đổi công'!A:D,3,0),0)</f>
        <v>1</v>
      </c>
      <c r="AQ54" s="115">
        <f>IFERROR(VLOOKUP(AN54,'Quy đổi công'!A:D,4,0),0)</f>
        <v>0</v>
      </c>
      <c r="AR54" s="115">
        <f t="shared" si="17"/>
        <v>0</v>
      </c>
      <c r="AS54" s="115">
        <f t="shared" si="80"/>
        <v>1</v>
      </c>
      <c r="AT54" s="115">
        <f t="shared" si="81"/>
        <v>0</v>
      </c>
      <c r="AU54" s="102" t="str">
        <f t="shared" si="23"/>
        <v/>
      </c>
      <c r="AV54" s="102" t="str">
        <f t="shared" si="24"/>
        <v/>
      </c>
      <c r="AW54" s="102" t="str">
        <f t="shared" si="25"/>
        <v/>
      </c>
      <c r="AX54" s="102" t="str">
        <f t="shared" si="26"/>
        <v/>
      </c>
      <c r="AY54" s="102" t="str">
        <f t="shared" si="27"/>
        <v/>
      </c>
      <c r="AZ54" s="102"/>
      <c r="BA54" s="102">
        <f>IF(AV54&lt;&gt;0,COUNTIFS($A$7:A54,A54,$AV$7:AV54,"Quên check in"))
+IF(AW54&lt;&gt;0,COUNTIFS($A$7:A54,A54,$AW$7:AW54,"Quên check in"))
+IF(AX54&lt;&gt;0,COUNTIFS($A$7:A54,A54,$AX$7:AX54,"Quên check out"))
+IF(AY54&lt;&gt;0,COUNTIFS($A$7:A54,A54,$AY$7:AY54,"Quên check out"))</f>
        <v>1</v>
      </c>
      <c r="BB54" s="143">
        <f t="shared" si="28"/>
        <v>0</v>
      </c>
    </row>
    <row r="55" spans="1:54" s="83" customFormat="1" ht="14.1" customHeight="1" x14ac:dyDescent="0.3">
      <c r="A55" s="103" t="s">
        <v>12</v>
      </c>
      <c r="B55" s="104" t="s">
        <v>21</v>
      </c>
      <c r="C55" s="105">
        <v>5000000</v>
      </c>
      <c r="D55" s="106">
        <v>43482</v>
      </c>
      <c r="E55" s="107">
        <v>43647</v>
      </c>
      <c r="F55" s="107">
        <v>73415</v>
      </c>
      <c r="G55" s="105">
        <v>26</v>
      </c>
      <c r="H55" s="105">
        <f t="shared" si="69"/>
        <v>3</v>
      </c>
      <c r="I55" s="105"/>
      <c r="J55" s="108">
        <v>43774</v>
      </c>
      <c r="K55" s="108" t="str">
        <f t="shared" si="70"/>
        <v>NV12343774VàoSáng</v>
      </c>
      <c r="L55" s="102" t="str">
        <f>IFERROR(VLOOKUP(K55,'1. Vân tay'!$F:$G,2,0),0)</f>
        <v>07:57:30</v>
      </c>
      <c r="M55" s="108" t="str">
        <f t="shared" si="71"/>
        <v>NV12343774RaSáng</v>
      </c>
      <c r="N55" s="102">
        <f>IFERROR(VLOOKUP(M55,'1. Vân tay'!$F:$G,2,0),0)</f>
        <v>0</v>
      </c>
      <c r="O55" s="108" t="str">
        <f t="shared" si="72"/>
        <v>NV12343774VàoChiều</v>
      </c>
      <c r="P55" s="102">
        <f>IFERROR(VLOOKUP(O55,'1. Vân tay'!$F:$G,2,0),0)</f>
        <v>0</v>
      </c>
      <c r="Q55" s="108" t="str">
        <f t="shared" si="73"/>
        <v>NV12343774RaChiều</v>
      </c>
      <c r="R55" s="102" t="str">
        <f>IFERROR(VLOOKUP(Q55,'1. Vân tay'!$F:$G,2,0),0)</f>
        <v>17:33:47</v>
      </c>
      <c r="S55" s="102">
        <f t="shared" si="74"/>
        <v>0</v>
      </c>
      <c r="T55" s="109">
        <v>0.33333333333333331</v>
      </c>
      <c r="U55" s="109">
        <v>0.5</v>
      </c>
      <c r="V55" s="109">
        <v>0.5625</v>
      </c>
      <c r="W55" s="109">
        <v>0.72916666666666663</v>
      </c>
      <c r="X55" s="102">
        <f>HDSD!$F$4</f>
        <v>5</v>
      </c>
      <c r="Y55" s="102">
        <f>SUMIFS('2. Đi muộn về sớm'!$K:$K,
'2. Đi muộn về sớm'!$B:$B,$A55,
'2. Đi muộn về sớm'!$D:$D,$J55)</f>
        <v>0</v>
      </c>
      <c r="Z55" s="110">
        <f t="shared" si="75"/>
        <v>0</v>
      </c>
      <c r="AA55" s="110">
        <f t="shared" si="76"/>
        <v>0</v>
      </c>
      <c r="AB55" s="111">
        <f t="shared" si="77"/>
        <v>0</v>
      </c>
      <c r="AC55" s="112">
        <f t="shared" si="8"/>
        <v>0</v>
      </c>
      <c r="AD55" s="113">
        <f t="shared" si="9"/>
        <v>0</v>
      </c>
      <c r="AE55" s="111">
        <f t="shared" si="78"/>
        <v>0</v>
      </c>
      <c r="AF55" s="113">
        <f t="shared" si="11"/>
        <v>0</v>
      </c>
      <c r="AG55" s="113">
        <f t="shared" si="12"/>
        <v>0</v>
      </c>
      <c r="AH55" s="114">
        <f t="shared" si="42"/>
        <v>9.6047222222222217</v>
      </c>
      <c r="AI55" s="102" t="str">
        <f t="shared" si="14"/>
        <v>X:8</v>
      </c>
      <c r="AJ55" s="102" t="str">
        <f t="shared" si="15"/>
        <v>NV12343774</v>
      </c>
      <c r="AK55" s="102" t="str">
        <f>IF(OR(J55&lt;D55,J55&gt;F55),"",
IFERROR(INDEX('3. Đơn xin nghỉ'!$K:$K,MATCH('4. Tổng hợp dữ liệu'!AJ55,'3. Đơn xin nghỉ'!$I:$I,0),1),
IF(AND(AU55="Không CC",I55&lt;&gt;1),"Ro:8","")))</f>
        <v/>
      </c>
      <c r="AL55" s="102" t="str">
        <f t="shared" si="16"/>
        <v/>
      </c>
      <c r="AM55" s="102" t="str">
        <f t="shared" si="79"/>
        <v>X:8</v>
      </c>
      <c r="AN55" s="102" t="s">
        <v>92</v>
      </c>
      <c r="AO55" s="102"/>
      <c r="AP55" s="115">
        <f>IFERROR(VLOOKUP(AN55,'Quy đổi công'!A:D,3,0),0)</f>
        <v>1</v>
      </c>
      <c r="AQ55" s="115">
        <f>IFERROR(VLOOKUP(AN55,'Quy đổi công'!A:D,4,0),0)</f>
        <v>0</v>
      </c>
      <c r="AR55" s="115">
        <f t="shared" si="17"/>
        <v>0</v>
      </c>
      <c r="AS55" s="115">
        <f t="shared" si="80"/>
        <v>1</v>
      </c>
      <c r="AT55" s="115">
        <f t="shared" si="81"/>
        <v>0</v>
      </c>
      <c r="AU55" s="102" t="str">
        <f t="shared" si="23"/>
        <v/>
      </c>
      <c r="AV55" s="102" t="str">
        <f t="shared" si="24"/>
        <v/>
      </c>
      <c r="AW55" s="102" t="str">
        <f t="shared" si="25"/>
        <v/>
      </c>
      <c r="AX55" s="102" t="str">
        <f t="shared" si="26"/>
        <v/>
      </c>
      <c r="AY55" s="102" t="str">
        <f t="shared" si="27"/>
        <v/>
      </c>
      <c r="AZ55" s="102"/>
      <c r="BA55" s="102">
        <f>IF(AV55&lt;&gt;0,COUNTIFS($A$7:A55,A55,$AV$7:AV55,"Quên check in"))
+IF(AW55&lt;&gt;0,COUNTIFS($A$7:A55,A55,$AW$7:AW55,"Quên check in"))
+IF(AX55&lt;&gt;0,COUNTIFS($A$7:A55,A55,$AX$7:AX55,"Quên check out"))
+IF(AY55&lt;&gt;0,COUNTIFS($A$7:A55,A55,$AY$7:AY55,"Quên check out"))</f>
        <v>0</v>
      </c>
      <c r="BB55" s="143">
        <f t="shared" si="28"/>
        <v>0</v>
      </c>
    </row>
    <row r="56" spans="1:54" s="83" customFormat="1" ht="14.1" customHeight="1" x14ac:dyDescent="0.3">
      <c r="A56" s="103" t="s">
        <v>13</v>
      </c>
      <c r="B56" s="104" t="s">
        <v>22</v>
      </c>
      <c r="C56" s="105">
        <v>4700000</v>
      </c>
      <c r="D56" s="106">
        <v>43531</v>
      </c>
      <c r="E56" s="107">
        <v>43647</v>
      </c>
      <c r="F56" s="107">
        <v>73415</v>
      </c>
      <c r="G56" s="105">
        <v>26</v>
      </c>
      <c r="H56" s="105">
        <f t="shared" si="69"/>
        <v>3</v>
      </c>
      <c r="I56" s="105"/>
      <c r="J56" s="108">
        <v>43774</v>
      </c>
      <c r="K56" s="108" t="str">
        <f t="shared" si="70"/>
        <v>NV12643774VàoSáng</v>
      </c>
      <c r="L56" s="102" t="str">
        <f>IFERROR(VLOOKUP(K56,'1. Vân tay'!$F:$G,2,0),0)</f>
        <v>07:57:35</v>
      </c>
      <c r="M56" s="108" t="str">
        <f t="shared" si="71"/>
        <v>NV12643774RaSáng</v>
      </c>
      <c r="N56" s="102">
        <f>IFERROR(VLOOKUP(M56,'1. Vân tay'!$F:$G,2,0),0)</f>
        <v>0</v>
      </c>
      <c r="O56" s="108" t="str">
        <f t="shared" si="72"/>
        <v>NV12643774VàoChiều</v>
      </c>
      <c r="P56" s="102">
        <f>IFERROR(VLOOKUP(O56,'1. Vân tay'!$F:$G,2,0),0)</f>
        <v>0</v>
      </c>
      <c r="Q56" s="108" t="str">
        <f t="shared" si="73"/>
        <v>NV12643774RaChiều</v>
      </c>
      <c r="R56" s="102" t="str">
        <f>IFERROR(VLOOKUP(Q56,'1. Vân tay'!$F:$G,2,0),0)</f>
        <v>17:33:04</v>
      </c>
      <c r="S56" s="102">
        <f t="shared" si="74"/>
        <v>0</v>
      </c>
      <c r="T56" s="109">
        <v>0.33333333333333331</v>
      </c>
      <c r="U56" s="109">
        <v>0.5</v>
      </c>
      <c r="V56" s="109">
        <v>0.5625</v>
      </c>
      <c r="W56" s="109">
        <v>0.72916666666666663</v>
      </c>
      <c r="X56" s="102">
        <f>HDSD!$F$4</f>
        <v>5</v>
      </c>
      <c r="Y56" s="102">
        <f>SUMIFS('2. Đi muộn về sớm'!$K:$K,
'2. Đi muộn về sớm'!$B:$B,$A56,
'2. Đi muộn về sớm'!$D:$D,$J56)</f>
        <v>0</v>
      </c>
      <c r="Z56" s="110">
        <f t="shared" si="75"/>
        <v>0</v>
      </c>
      <c r="AA56" s="110">
        <f t="shared" si="76"/>
        <v>0</v>
      </c>
      <c r="AB56" s="111">
        <f t="shared" si="77"/>
        <v>0</v>
      </c>
      <c r="AC56" s="112">
        <f t="shared" si="8"/>
        <v>0</v>
      </c>
      <c r="AD56" s="113">
        <f t="shared" si="9"/>
        <v>0</v>
      </c>
      <c r="AE56" s="111">
        <f t="shared" si="78"/>
        <v>0</v>
      </c>
      <c r="AF56" s="113">
        <f t="shared" si="11"/>
        <v>0</v>
      </c>
      <c r="AG56" s="113">
        <f t="shared" si="12"/>
        <v>0</v>
      </c>
      <c r="AH56" s="114">
        <f t="shared" si="42"/>
        <v>9.5913888888888899</v>
      </c>
      <c r="AI56" s="102" t="str">
        <f t="shared" si="14"/>
        <v>X:8</v>
      </c>
      <c r="AJ56" s="102" t="str">
        <f t="shared" si="15"/>
        <v>NV12643774</v>
      </c>
      <c r="AK56" s="102" t="str">
        <f>IF(OR(J56&lt;D56,J56&gt;F56),"",
IFERROR(INDEX('3. Đơn xin nghỉ'!$K:$K,MATCH('4. Tổng hợp dữ liệu'!AJ56,'3. Đơn xin nghỉ'!$I:$I,0),1),
IF(AND(AU56="Không CC",I56&lt;&gt;1),"Ro:8","")))</f>
        <v/>
      </c>
      <c r="AL56" s="102" t="str">
        <f t="shared" si="16"/>
        <v/>
      </c>
      <c r="AM56" s="102" t="str">
        <f t="shared" si="79"/>
        <v>X:8</v>
      </c>
      <c r="AN56" s="102" t="s">
        <v>92</v>
      </c>
      <c r="AO56" s="102"/>
      <c r="AP56" s="115">
        <f>IFERROR(VLOOKUP(AN56,'Quy đổi công'!A:D,3,0),0)</f>
        <v>1</v>
      </c>
      <c r="AQ56" s="115">
        <f>IFERROR(VLOOKUP(AN56,'Quy đổi công'!A:D,4,0),0)</f>
        <v>0</v>
      </c>
      <c r="AR56" s="115">
        <f t="shared" si="17"/>
        <v>0</v>
      </c>
      <c r="AS56" s="115">
        <f t="shared" si="80"/>
        <v>1</v>
      </c>
      <c r="AT56" s="115">
        <f t="shared" si="81"/>
        <v>0</v>
      </c>
      <c r="AU56" s="102" t="str">
        <f t="shared" si="23"/>
        <v/>
      </c>
      <c r="AV56" s="102" t="str">
        <f t="shared" si="24"/>
        <v/>
      </c>
      <c r="AW56" s="102" t="str">
        <f t="shared" si="25"/>
        <v/>
      </c>
      <c r="AX56" s="102" t="str">
        <f t="shared" si="26"/>
        <v/>
      </c>
      <c r="AY56" s="102" t="str">
        <f t="shared" si="27"/>
        <v/>
      </c>
      <c r="AZ56" s="102"/>
      <c r="BA56" s="102">
        <f>IF(AV56&lt;&gt;0,COUNTIFS($A$7:A56,A56,$AV$7:AV56,"Quên check in"))
+IF(AW56&lt;&gt;0,COUNTIFS($A$7:A56,A56,$AW$7:AW56,"Quên check in"))
+IF(AX56&lt;&gt;0,COUNTIFS($A$7:A56,A56,$AX$7:AX56,"Quên check out"))
+IF(AY56&lt;&gt;0,COUNTIFS($A$7:A56,A56,$AY$7:AY56,"Quên check out"))</f>
        <v>0</v>
      </c>
      <c r="BB56" s="143">
        <f t="shared" si="28"/>
        <v>0</v>
      </c>
    </row>
    <row r="57" spans="1:54" s="83" customFormat="1" ht="14.1" customHeight="1" x14ac:dyDescent="0.3">
      <c r="A57" s="103" t="s">
        <v>4</v>
      </c>
      <c r="B57" s="104" t="s">
        <v>14</v>
      </c>
      <c r="C57" s="105">
        <v>4700000</v>
      </c>
      <c r="D57" s="106">
        <v>43388</v>
      </c>
      <c r="E57" s="107">
        <v>43525</v>
      </c>
      <c r="F57" s="107">
        <v>73415</v>
      </c>
      <c r="G57" s="105">
        <v>26</v>
      </c>
      <c r="H57" s="105">
        <f t="shared" ref="H57:H66" si="82">WEEKDAY(J57,1)</f>
        <v>4</v>
      </c>
      <c r="I57" s="105"/>
      <c r="J57" s="108">
        <v>43775</v>
      </c>
      <c r="K57" s="108" t="str">
        <f t="shared" ref="K57:K66" si="83">$A57&amp;$J57&amp;"Vào"&amp;"Sáng"</f>
        <v>NV10143775VàoSáng</v>
      </c>
      <c r="L57" s="102">
        <f>IFERROR(VLOOKUP(K57,'1. Vân tay'!$F:$G,2,0),0)</f>
        <v>0</v>
      </c>
      <c r="M57" s="108" t="str">
        <f t="shared" ref="M57:M66" si="84">$A57&amp;$J57&amp;"Ra"&amp;"Sáng"</f>
        <v>NV10143775RaSáng</v>
      </c>
      <c r="N57" s="102">
        <f>IFERROR(VLOOKUP(M57,'1. Vân tay'!$F:$G,2,0),0)</f>
        <v>0</v>
      </c>
      <c r="O57" s="108" t="str">
        <f t="shared" ref="O57:O66" si="85">$A57&amp;$J57&amp;"Vào"&amp;"Chiều"</f>
        <v>NV10143775VàoChiều</v>
      </c>
      <c r="P57" s="102">
        <f>IFERROR(VLOOKUP(O57,'1. Vân tay'!$F:$G,2,0),0)</f>
        <v>0</v>
      </c>
      <c r="Q57" s="108" t="str">
        <f t="shared" ref="Q57:Q66" si="86">$A57&amp;$J57&amp;"Ra"&amp;"Chiều"</f>
        <v>NV10143775RaChiều</v>
      </c>
      <c r="R57" s="102">
        <f>IFERROR(VLOOKUP(Q57,'1. Vân tay'!$F:$G,2,0),0)</f>
        <v>0</v>
      </c>
      <c r="S57" s="102">
        <f t="shared" ref="S57:S66" si="87">IF(OR(
(AND(L57&lt;&gt;0,P57&lt;&gt;0)),
(AND(N57&lt;&gt;0,R57&lt;&gt;0))),"Kiểm tra",0)</f>
        <v>0</v>
      </c>
      <c r="T57" s="109">
        <v>0.33333333333333331</v>
      </c>
      <c r="U57" s="109">
        <v>0.5</v>
      </c>
      <c r="V57" s="109">
        <v>0.5625</v>
      </c>
      <c r="W57" s="109">
        <v>0.72916666666666663</v>
      </c>
      <c r="X57" s="102">
        <f>HDSD!$F$4</f>
        <v>5</v>
      </c>
      <c r="Y57" s="102">
        <f>SUMIFS('2. Đi muộn về sớm'!$K:$K,
'2. Đi muộn về sớm'!$B:$B,$A57,
'2. Đi muộn về sớm'!$D:$D,$J57)</f>
        <v>0</v>
      </c>
      <c r="Z57" s="110">
        <f t="shared" ref="Z57:Z66" si="88">IF(L57=0,0,IFERROR((HOUR(L57-T57)*60+MINUTE(L57-T57)+SECOND(L57-T57)/60),0))
+IF(N57=0,0, IFERROR((HOUR(U57-N57)*60+MINUTE(U57-N57)+SECOND(U57-N57)/60),0))
+IF(P57=0,0, IFERROR((HOUR(P57-V57)*60+MINUTE(P57-V57)+SECOND(P57-V57)/60),0))
+IF(R57=0,0, IFERROR((HOUR(W57-R57)*60+MINUTE(W57-R57)+SECOND(W57-R57)/60),0))</f>
        <v>0</v>
      </c>
      <c r="AA57" s="110">
        <f t="shared" ref="AA57:AA66" si="89">IF(L57=0,0,IFERROR((HOUR(L57-"09:00:00")*60+MINUTE(L57-"09:00:00")+SECOND(L57-"09:00:00")/60),0))
+IF(N57=0,0, IFERROR((HOUR(U57-N57)*60+MINUTE(U57-N57)+SECOND(U57-N57)/60),0))
+IF(P57=0,0, IFERROR((HOUR(P57-V57)*60+MINUTE(P57-V57)+SECOND(P57-V57)/60),0))
+IF(R57=0,0, IFERROR((HOUR("16:30:00"-R57)*60+MINUTE("16:30:00"-R57)+SECOND("16:30:00"-R57)/60),0))</f>
        <v>0</v>
      </c>
      <c r="AB57" s="111">
        <f t="shared" ref="AB57:AB66" si="90">Z57-AA57</f>
        <v>0</v>
      </c>
      <c r="AC57" s="112">
        <f t="shared" si="8"/>
        <v>0</v>
      </c>
      <c r="AD57" s="113">
        <f t="shared" si="9"/>
        <v>0</v>
      </c>
      <c r="AE57" s="111">
        <f t="shared" ref="AE57:AE66" si="91">AA57/60/8</f>
        <v>0</v>
      </c>
      <c r="AF57" s="113">
        <f t="shared" si="11"/>
        <v>0</v>
      </c>
      <c r="AG57" s="113">
        <f t="shared" si="12"/>
        <v>0</v>
      </c>
      <c r="AH57" s="114">
        <f t="shared" si="42"/>
        <v>0</v>
      </c>
      <c r="AI57" s="102" t="str">
        <f t="shared" si="14"/>
        <v/>
      </c>
      <c r="AJ57" s="102" t="str">
        <f t="shared" si="15"/>
        <v>NV10143775</v>
      </c>
      <c r="AK57" s="102" t="str">
        <f>IF(OR(J57&lt;D57,J57&gt;F57),"",
IFERROR(INDEX('3. Đơn xin nghỉ'!$K:$K,MATCH('4. Tổng hợp dữ liệu'!AJ57,'3. Đơn xin nghỉ'!$I:$I,0),1),
IF(AND(AU57="Không CC",I57&lt;&gt;1),"Ro:8","")))</f>
        <v>Ro:8</v>
      </c>
      <c r="AL57" s="102" t="str">
        <f t="shared" si="16"/>
        <v/>
      </c>
      <c r="AM57" s="102" t="str">
        <f t="shared" ref="AM57:AM66" si="92">IF(OR(AI57="",AK57=""),AI57&amp;AK57,AI57&amp;","&amp;AK57)&amp;AL57</f>
        <v>Ro:8</v>
      </c>
      <c r="AN57" s="102" t="s">
        <v>83</v>
      </c>
      <c r="AO57" s="102"/>
      <c r="AP57" s="115">
        <f>IFERROR(VLOOKUP(AN57,'Quy đổi công'!A:D,3,0),0)</f>
        <v>0</v>
      </c>
      <c r="AQ57" s="115">
        <f>IFERROR(VLOOKUP(AN57,'Quy đổi công'!A:D,4,0),0)</f>
        <v>1</v>
      </c>
      <c r="AR57" s="115">
        <f t="shared" si="17"/>
        <v>0</v>
      </c>
      <c r="AS57" s="115">
        <f t="shared" ref="AS57:AS66" si="93">AP57-AR57</f>
        <v>0</v>
      </c>
      <c r="AT57" s="115">
        <f t="shared" ref="AT57:AT66" si="94">IF(AN57="P8",1)
+IF(OR(AN57="X:4,P:4",AN57="P:4,Rv:4",AN57="P:4,Ro:4"),1/2)</f>
        <v>0</v>
      </c>
      <c r="AU57" s="102" t="str">
        <f t="shared" si="23"/>
        <v>Không CC</v>
      </c>
      <c r="AV57" s="102" t="str">
        <f t="shared" si="24"/>
        <v/>
      </c>
      <c r="AW57" s="102" t="str">
        <f t="shared" si="25"/>
        <v/>
      </c>
      <c r="AX57" s="102" t="str">
        <f t="shared" si="26"/>
        <v/>
      </c>
      <c r="AY57" s="102" t="str">
        <f t="shared" si="27"/>
        <v/>
      </c>
      <c r="AZ57" s="102"/>
      <c r="BA57" s="102">
        <f>IF(AV57&lt;&gt;0,COUNTIFS($A$7:A57,A57,$AV$7:AV57,"Quên check in"))
+IF(AW57&lt;&gt;0,COUNTIFS($A$7:A57,A57,$AW$7:AW57,"Quên check in"))
+IF(AX57&lt;&gt;0,COUNTIFS($A$7:A57,A57,$AX$7:AX57,"Quên check out"))
+IF(AY57&lt;&gt;0,COUNTIFS($A$7:A57,A57,$AY$7:AY57,"Quên check out"))</f>
        <v>0</v>
      </c>
      <c r="BB57" s="143">
        <f t="shared" si="28"/>
        <v>0</v>
      </c>
    </row>
    <row r="58" spans="1:54" s="83" customFormat="1" ht="14.1" customHeight="1" x14ac:dyDescent="0.3">
      <c r="A58" s="103" t="s">
        <v>5</v>
      </c>
      <c r="B58" s="104" t="s">
        <v>28</v>
      </c>
      <c r="C58" s="105">
        <v>10000000</v>
      </c>
      <c r="D58" s="106">
        <v>43409</v>
      </c>
      <c r="E58" s="107">
        <v>43678</v>
      </c>
      <c r="F58" s="107">
        <v>73415</v>
      </c>
      <c r="G58" s="105">
        <v>26</v>
      </c>
      <c r="H58" s="105">
        <f t="shared" si="82"/>
        <v>4</v>
      </c>
      <c r="I58" s="105"/>
      <c r="J58" s="108">
        <v>43775</v>
      </c>
      <c r="K58" s="108" t="str">
        <f t="shared" si="83"/>
        <v>NV10743775VàoSáng</v>
      </c>
      <c r="L58" s="102" t="str">
        <f>IFERROR(VLOOKUP(K58,'1. Vân tay'!$F:$G,2,0),0)</f>
        <v>08:18:06</v>
      </c>
      <c r="M58" s="108" t="str">
        <f t="shared" si="84"/>
        <v>NV10743775RaSáng</v>
      </c>
      <c r="N58" s="102">
        <f>IFERROR(VLOOKUP(M58,'1. Vân tay'!$F:$G,2,0),0)</f>
        <v>0</v>
      </c>
      <c r="O58" s="108" t="str">
        <f t="shared" si="85"/>
        <v>NV10743775VàoChiều</v>
      </c>
      <c r="P58" s="102">
        <f>IFERROR(VLOOKUP(O58,'1. Vân tay'!$F:$G,2,0),0)</f>
        <v>0</v>
      </c>
      <c r="Q58" s="108" t="str">
        <f t="shared" si="86"/>
        <v>NV10743775RaChiều</v>
      </c>
      <c r="R58" s="102" t="str">
        <f>IFERROR(VLOOKUP(Q58,'1. Vân tay'!$F:$G,2,0),0)</f>
        <v>17:34:25</v>
      </c>
      <c r="S58" s="102">
        <f t="shared" si="87"/>
        <v>0</v>
      </c>
      <c r="T58" s="109">
        <v>0.33333333333333331</v>
      </c>
      <c r="U58" s="109">
        <v>0.5</v>
      </c>
      <c r="V58" s="109">
        <v>0.5625</v>
      </c>
      <c r="W58" s="109">
        <v>0.72916666666666663</v>
      </c>
      <c r="X58" s="102">
        <f>HDSD!$F$4</f>
        <v>5</v>
      </c>
      <c r="Y58" s="102">
        <f>SUMIFS('2. Đi muộn về sớm'!$K:$K,
'2. Đi muộn về sớm'!$B:$B,$A58,
'2. Đi muộn về sớm'!$D:$D,$J58)</f>
        <v>0</v>
      </c>
      <c r="Z58" s="110">
        <f t="shared" si="88"/>
        <v>18.100000000000001</v>
      </c>
      <c r="AA58" s="110">
        <f t="shared" si="89"/>
        <v>0</v>
      </c>
      <c r="AB58" s="111">
        <f t="shared" si="90"/>
        <v>18.100000000000001</v>
      </c>
      <c r="AC58" s="112">
        <f t="shared" si="8"/>
        <v>13.100000000000001</v>
      </c>
      <c r="AD58" s="113">
        <f t="shared" si="9"/>
        <v>26200.000000000004</v>
      </c>
      <c r="AE58" s="111">
        <f t="shared" si="91"/>
        <v>0</v>
      </c>
      <c r="AF58" s="113">
        <f t="shared" si="11"/>
        <v>0</v>
      </c>
      <c r="AG58" s="113">
        <f t="shared" si="12"/>
        <v>26200.000000000004</v>
      </c>
      <c r="AH58" s="114">
        <f t="shared" si="42"/>
        <v>9.2719444444444452</v>
      </c>
      <c r="AI58" s="102" t="str">
        <f t="shared" si="14"/>
        <v>X:8</v>
      </c>
      <c r="AJ58" s="102" t="str">
        <f t="shared" si="15"/>
        <v>NV10743775</v>
      </c>
      <c r="AK58" s="102" t="str">
        <f>IF(OR(J58&lt;D58,J58&gt;F58),"",
IFERROR(INDEX('3. Đơn xin nghỉ'!$K:$K,MATCH('4. Tổng hợp dữ liệu'!AJ58,'3. Đơn xin nghỉ'!$I:$I,0),1),
IF(AND(AU58="Không CC",I58&lt;&gt;1),"Ro:8","")))</f>
        <v/>
      </c>
      <c r="AL58" s="102" t="str">
        <f t="shared" si="16"/>
        <v/>
      </c>
      <c r="AM58" s="102" t="str">
        <f t="shared" si="92"/>
        <v>X:8</v>
      </c>
      <c r="AN58" s="102" t="s">
        <v>92</v>
      </c>
      <c r="AO58" s="102"/>
      <c r="AP58" s="115">
        <f>IFERROR(VLOOKUP(AN58,'Quy đổi công'!A:D,3,0),0)</f>
        <v>1</v>
      </c>
      <c r="AQ58" s="115">
        <f>IFERROR(VLOOKUP(AN58,'Quy đổi công'!A:D,4,0),0)</f>
        <v>0</v>
      </c>
      <c r="AR58" s="115">
        <f t="shared" si="17"/>
        <v>0</v>
      </c>
      <c r="AS58" s="115">
        <f t="shared" si="93"/>
        <v>1</v>
      </c>
      <c r="AT58" s="115">
        <f t="shared" si="94"/>
        <v>0</v>
      </c>
      <c r="AU58" s="102" t="str">
        <f t="shared" si="23"/>
        <v/>
      </c>
      <c r="AV58" s="102" t="str">
        <f t="shared" si="24"/>
        <v/>
      </c>
      <c r="AW58" s="102" t="str">
        <f t="shared" si="25"/>
        <v/>
      </c>
      <c r="AX58" s="102" t="str">
        <f t="shared" si="26"/>
        <v/>
      </c>
      <c r="AY58" s="102" t="str">
        <f t="shared" si="27"/>
        <v/>
      </c>
      <c r="AZ58" s="102"/>
      <c r="BA58" s="102">
        <f>IF(AV58&lt;&gt;0,COUNTIFS($A$7:A58,A58,$AV$7:AV58,"Quên check in"))
+IF(AW58&lt;&gt;0,COUNTIFS($A$7:A58,A58,$AW$7:AW58,"Quên check in"))
+IF(AX58&lt;&gt;0,COUNTIFS($A$7:A58,A58,$AX$7:AX58,"Quên check out"))
+IF(AY58&lt;&gt;0,COUNTIFS($A$7:A58,A58,$AY$7:AY58,"Quên check out"))</f>
        <v>0</v>
      </c>
      <c r="BB58" s="143">
        <f t="shared" si="28"/>
        <v>0</v>
      </c>
    </row>
    <row r="59" spans="1:54" s="83" customFormat="1" ht="14.1" customHeight="1" x14ac:dyDescent="0.3">
      <c r="A59" s="103" t="s">
        <v>6</v>
      </c>
      <c r="B59" s="104" t="s">
        <v>15</v>
      </c>
      <c r="C59" s="105">
        <v>4700000</v>
      </c>
      <c r="D59" s="106">
        <v>43409</v>
      </c>
      <c r="E59" s="107">
        <v>43617</v>
      </c>
      <c r="F59" s="107">
        <v>73415</v>
      </c>
      <c r="G59" s="105">
        <v>26</v>
      </c>
      <c r="H59" s="105">
        <f t="shared" si="82"/>
        <v>4</v>
      </c>
      <c r="I59" s="105"/>
      <c r="J59" s="108">
        <v>43775</v>
      </c>
      <c r="K59" s="108" t="str">
        <f t="shared" si="83"/>
        <v>NV10843775VàoSáng</v>
      </c>
      <c r="L59" s="102" t="str">
        <f>IFERROR(VLOOKUP(K59,'1. Vân tay'!$F:$G,2,0),0)</f>
        <v>07:50:33</v>
      </c>
      <c r="M59" s="108" t="str">
        <f t="shared" si="84"/>
        <v>NV10843775RaSáng</v>
      </c>
      <c r="N59" s="102">
        <f>IFERROR(VLOOKUP(M59,'1. Vân tay'!$F:$G,2,0),0)</f>
        <v>0</v>
      </c>
      <c r="O59" s="108" t="str">
        <f t="shared" si="85"/>
        <v>NV10843775VàoChiều</v>
      </c>
      <c r="P59" s="102">
        <f>IFERROR(VLOOKUP(O59,'1. Vân tay'!$F:$G,2,0),0)</f>
        <v>0</v>
      </c>
      <c r="Q59" s="108" t="str">
        <f t="shared" si="86"/>
        <v>NV10843775RaChiều</v>
      </c>
      <c r="R59" s="102" t="str">
        <f>IFERROR(VLOOKUP(Q59,'1. Vân tay'!$F:$G,2,0),0)</f>
        <v>17:35:28</v>
      </c>
      <c r="S59" s="102">
        <f t="shared" si="87"/>
        <v>0</v>
      </c>
      <c r="T59" s="109">
        <v>0.33333333333333331</v>
      </c>
      <c r="U59" s="109">
        <v>0.5</v>
      </c>
      <c r="V59" s="109">
        <v>0.5625</v>
      </c>
      <c r="W59" s="109">
        <v>0.72916666666666663</v>
      </c>
      <c r="X59" s="102">
        <f>HDSD!$F$4</f>
        <v>5</v>
      </c>
      <c r="Y59" s="102">
        <f>SUMIFS('2. Đi muộn về sớm'!$K:$K,
'2. Đi muộn về sớm'!$B:$B,$A59,
'2. Đi muộn về sớm'!$D:$D,$J59)</f>
        <v>0</v>
      </c>
      <c r="Z59" s="110">
        <f t="shared" si="88"/>
        <v>0</v>
      </c>
      <c r="AA59" s="110">
        <f t="shared" si="89"/>
        <v>0</v>
      </c>
      <c r="AB59" s="111">
        <f t="shared" si="90"/>
        <v>0</v>
      </c>
      <c r="AC59" s="112">
        <f t="shared" si="8"/>
        <v>0</v>
      </c>
      <c r="AD59" s="113">
        <f t="shared" si="9"/>
        <v>0</v>
      </c>
      <c r="AE59" s="111">
        <f t="shared" si="91"/>
        <v>0</v>
      </c>
      <c r="AF59" s="113">
        <f t="shared" si="11"/>
        <v>0</v>
      </c>
      <c r="AG59" s="113">
        <f t="shared" si="12"/>
        <v>0</v>
      </c>
      <c r="AH59" s="114">
        <f t="shared" si="42"/>
        <v>9.74861111111111</v>
      </c>
      <c r="AI59" s="102" t="str">
        <f t="shared" si="14"/>
        <v>X:8</v>
      </c>
      <c r="AJ59" s="102" t="str">
        <f t="shared" si="15"/>
        <v>NV10843775</v>
      </c>
      <c r="AK59" s="102" t="str">
        <f>IF(OR(J59&lt;D59,J59&gt;F59),"",
IFERROR(INDEX('3. Đơn xin nghỉ'!$K:$K,MATCH('4. Tổng hợp dữ liệu'!AJ59,'3. Đơn xin nghỉ'!$I:$I,0),1),
IF(AND(AU59="Không CC",I59&lt;&gt;1),"Ro:8","")))</f>
        <v/>
      </c>
      <c r="AL59" s="102" t="str">
        <f t="shared" si="16"/>
        <v/>
      </c>
      <c r="AM59" s="102" t="str">
        <f t="shared" si="92"/>
        <v>X:8</v>
      </c>
      <c r="AN59" s="102" t="s">
        <v>92</v>
      </c>
      <c r="AO59" s="102"/>
      <c r="AP59" s="115">
        <f>IFERROR(VLOOKUP(AN59,'Quy đổi công'!A:D,3,0),0)</f>
        <v>1</v>
      </c>
      <c r="AQ59" s="115">
        <f>IFERROR(VLOOKUP(AN59,'Quy đổi công'!A:D,4,0),0)</f>
        <v>0</v>
      </c>
      <c r="AR59" s="115">
        <f t="shared" si="17"/>
        <v>0</v>
      </c>
      <c r="AS59" s="115">
        <f t="shared" si="93"/>
        <v>1</v>
      </c>
      <c r="AT59" s="115">
        <f t="shared" si="94"/>
        <v>0</v>
      </c>
      <c r="AU59" s="102" t="str">
        <f t="shared" si="23"/>
        <v/>
      </c>
      <c r="AV59" s="102" t="str">
        <f t="shared" si="24"/>
        <v/>
      </c>
      <c r="AW59" s="102" t="str">
        <f t="shared" si="25"/>
        <v/>
      </c>
      <c r="AX59" s="102" t="str">
        <f t="shared" si="26"/>
        <v/>
      </c>
      <c r="AY59" s="102" t="str">
        <f t="shared" si="27"/>
        <v/>
      </c>
      <c r="AZ59" s="102"/>
      <c r="BA59" s="102">
        <f>IF(AV59&lt;&gt;0,COUNTIFS($A$7:A59,A59,$AV$7:AV59,"Quên check in"))
+IF(AW59&lt;&gt;0,COUNTIFS($A$7:A59,A59,$AW$7:AW59,"Quên check in"))
+IF(AX59&lt;&gt;0,COUNTIFS($A$7:A59,A59,$AX$7:AX59,"Quên check out"))
+IF(AY59&lt;&gt;0,COUNTIFS($A$7:A59,A59,$AY$7:AY59,"Quên check out"))</f>
        <v>0</v>
      </c>
      <c r="BB59" s="143">
        <f t="shared" si="28"/>
        <v>0</v>
      </c>
    </row>
    <row r="60" spans="1:54" s="83" customFormat="1" ht="14.1" customHeight="1" x14ac:dyDescent="0.3">
      <c r="A60" s="103" t="s">
        <v>7</v>
      </c>
      <c r="B60" s="104" t="s">
        <v>16</v>
      </c>
      <c r="C60" s="105">
        <v>5000000</v>
      </c>
      <c r="D60" s="106">
        <v>43416</v>
      </c>
      <c r="E60" s="107">
        <v>43617</v>
      </c>
      <c r="F60" s="107">
        <v>73415</v>
      </c>
      <c r="G60" s="105">
        <v>26</v>
      </c>
      <c r="H60" s="105">
        <f t="shared" si="82"/>
        <v>4</v>
      </c>
      <c r="I60" s="105"/>
      <c r="J60" s="108">
        <v>43775</v>
      </c>
      <c r="K60" s="108" t="str">
        <f t="shared" si="83"/>
        <v>NV10943775VàoSáng</v>
      </c>
      <c r="L60" s="102" t="str">
        <f>IFERROR(VLOOKUP(K60,'1. Vân tay'!$F:$G,2,0),0)</f>
        <v>07:37:08</v>
      </c>
      <c r="M60" s="108" t="str">
        <f t="shared" si="84"/>
        <v>NV10943775RaSáng</v>
      </c>
      <c r="N60" s="102">
        <f>IFERROR(VLOOKUP(M60,'1. Vân tay'!$F:$G,2,0),0)</f>
        <v>0</v>
      </c>
      <c r="O60" s="108" t="str">
        <f t="shared" si="85"/>
        <v>NV10943775VàoChiều</v>
      </c>
      <c r="P60" s="102">
        <f>IFERROR(VLOOKUP(O60,'1. Vân tay'!$F:$G,2,0),0)</f>
        <v>0</v>
      </c>
      <c r="Q60" s="108" t="str">
        <f t="shared" si="86"/>
        <v>NV10943775RaChiều</v>
      </c>
      <c r="R60" s="102" t="str">
        <f>IFERROR(VLOOKUP(Q60,'1. Vân tay'!$F:$G,2,0),0)</f>
        <v>17:35:50</v>
      </c>
      <c r="S60" s="102">
        <f t="shared" si="87"/>
        <v>0</v>
      </c>
      <c r="T60" s="109">
        <v>0.33333333333333331</v>
      </c>
      <c r="U60" s="109">
        <v>0.5</v>
      </c>
      <c r="V60" s="109">
        <v>0.5625</v>
      </c>
      <c r="W60" s="109">
        <v>0.72916666666666663</v>
      </c>
      <c r="X60" s="102">
        <f>HDSD!$F$4</f>
        <v>5</v>
      </c>
      <c r="Y60" s="102">
        <f>SUMIFS('2. Đi muộn về sớm'!$K:$K,
'2. Đi muộn về sớm'!$B:$B,$A60,
'2. Đi muộn về sớm'!$D:$D,$J60)</f>
        <v>0</v>
      </c>
      <c r="Z60" s="110">
        <f t="shared" si="88"/>
        <v>0</v>
      </c>
      <c r="AA60" s="110">
        <f t="shared" si="89"/>
        <v>0</v>
      </c>
      <c r="AB60" s="111">
        <f t="shared" si="90"/>
        <v>0</v>
      </c>
      <c r="AC60" s="112">
        <f t="shared" si="8"/>
        <v>0</v>
      </c>
      <c r="AD60" s="113">
        <f t="shared" si="9"/>
        <v>0</v>
      </c>
      <c r="AE60" s="111">
        <f t="shared" si="91"/>
        <v>0</v>
      </c>
      <c r="AF60" s="113">
        <f t="shared" si="11"/>
        <v>0</v>
      </c>
      <c r="AG60" s="113">
        <f t="shared" si="12"/>
        <v>0</v>
      </c>
      <c r="AH60" s="114">
        <f t="shared" si="42"/>
        <v>9.9783333333333335</v>
      </c>
      <c r="AI60" s="102" t="str">
        <f t="shared" si="14"/>
        <v>X:8</v>
      </c>
      <c r="AJ60" s="102" t="str">
        <f t="shared" si="15"/>
        <v>NV10943775</v>
      </c>
      <c r="AK60" s="102" t="str">
        <f>IF(OR(J60&lt;D60,J60&gt;F60),"",
IFERROR(INDEX('3. Đơn xin nghỉ'!$K:$K,MATCH('4. Tổng hợp dữ liệu'!AJ60,'3. Đơn xin nghỉ'!$I:$I,0),1),
IF(AND(AU60="Không CC",I60&lt;&gt;1),"Ro:8","")))</f>
        <v/>
      </c>
      <c r="AL60" s="102" t="str">
        <f t="shared" si="16"/>
        <v/>
      </c>
      <c r="AM60" s="102" t="str">
        <f t="shared" si="92"/>
        <v>X:8</v>
      </c>
      <c r="AN60" s="102" t="s">
        <v>92</v>
      </c>
      <c r="AO60" s="102"/>
      <c r="AP60" s="115">
        <f>IFERROR(VLOOKUP(AN60,'Quy đổi công'!A:D,3,0),0)</f>
        <v>1</v>
      </c>
      <c r="AQ60" s="115">
        <f>IFERROR(VLOOKUP(AN60,'Quy đổi công'!A:D,4,0),0)</f>
        <v>0</v>
      </c>
      <c r="AR60" s="115">
        <f t="shared" si="17"/>
        <v>0</v>
      </c>
      <c r="AS60" s="115">
        <f t="shared" si="93"/>
        <v>1</v>
      </c>
      <c r="AT60" s="115">
        <f t="shared" si="94"/>
        <v>0</v>
      </c>
      <c r="AU60" s="102" t="str">
        <f t="shared" si="23"/>
        <v/>
      </c>
      <c r="AV60" s="102" t="str">
        <f t="shared" si="24"/>
        <v/>
      </c>
      <c r="AW60" s="102" t="str">
        <f t="shared" si="25"/>
        <v/>
      </c>
      <c r="AX60" s="102" t="str">
        <f t="shared" si="26"/>
        <v/>
      </c>
      <c r="AY60" s="102" t="str">
        <f t="shared" si="27"/>
        <v/>
      </c>
      <c r="AZ60" s="102"/>
      <c r="BA60" s="102">
        <f>IF(AV60&lt;&gt;0,COUNTIFS($A$7:A60,A60,$AV$7:AV60,"Quên check in"))
+IF(AW60&lt;&gt;0,COUNTIFS($A$7:A60,A60,$AW$7:AW60,"Quên check in"))
+IF(AX60&lt;&gt;0,COUNTIFS($A$7:A60,A60,$AX$7:AX60,"Quên check out"))
+IF(AY60&lt;&gt;0,COUNTIFS($A$7:A60,A60,$AY$7:AY60,"Quên check out"))</f>
        <v>0</v>
      </c>
      <c r="BB60" s="143">
        <f t="shared" si="28"/>
        <v>0</v>
      </c>
    </row>
    <row r="61" spans="1:54" s="83" customFormat="1" ht="14.1" customHeight="1" x14ac:dyDescent="0.3">
      <c r="A61" s="103" t="s">
        <v>8</v>
      </c>
      <c r="B61" s="104" t="s">
        <v>17</v>
      </c>
      <c r="C61" s="105">
        <v>5000000</v>
      </c>
      <c r="D61" s="106">
        <v>43423</v>
      </c>
      <c r="E61" s="107">
        <v>43617</v>
      </c>
      <c r="F61" s="107">
        <v>73415</v>
      </c>
      <c r="G61" s="105">
        <v>26</v>
      </c>
      <c r="H61" s="105">
        <f t="shared" si="82"/>
        <v>4</v>
      </c>
      <c r="I61" s="105"/>
      <c r="J61" s="108">
        <v>43775</v>
      </c>
      <c r="K61" s="108" t="str">
        <f t="shared" si="83"/>
        <v>NV11343775VàoSáng</v>
      </c>
      <c r="L61" s="102" t="str">
        <f>IFERROR(VLOOKUP(K61,'1. Vân tay'!$F:$G,2,0),0)</f>
        <v>07:27:03</v>
      </c>
      <c r="M61" s="108" t="str">
        <f t="shared" si="84"/>
        <v>NV11343775RaSáng</v>
      </c>
      <c r="N61" s="102">
        <f>IFERROR(VLOOKUP(M61,'1. Vân tay'!$F:$G,2,0),0)</f>
        <v>0</v>
      </c>
      <c r="O61" s="108" t="str">
        <f t="shared" si="85"/>
        <v>NV11343775VàoChiều</v>
      </c>
      <c r="P61" s="102">
        <f>IFERROR(VLOOKUP(O61,'1. Vân tay'!$F:$G,2,0),0)</f>
        <v>0</v>
      </c>
      <c r="Q61" s="108" t="str">
        <f t="shared" si="86"/>
        <v>NV11343775RaChiều</v>
      </c>
      <c r="R61" s="102" t="str">
        <f>IFERROR(VLOOKUP(Q61,'1. Vân tay'!$F:$G,2,0),0)</f>
        <v>17:35:15</v>
      </c>
      <c r="S61" s="102">
        <f t="shared" si="87"/>
        <v>0</v>
      </c>
      <c r="T61" s="109">
        <v>0.33333333333333331</v>
      </c>
      <c r="U61" s="109">
        <v>0.5</v>
      </c>
      <c r="V61" s="109">
        <v>0.5625</v>
      </c>
      <c r="W61" s="109">
        <v>0.72916666666666663</v>
      </c>
      <c r="X61" s="102">
        <f>HDSD!$F$4</f>
        <v>5</v>
      </c>
      <c r="Y61" s="102">
        <f>SUMIFS('2. Đi muộn về sớm'!$K:$K,
'2. Đi muộn về sớm'!$B:$B,$A61,
'2. Đi muộn về sớm'!$D:$D,$J61)</f>
        <v>0</v>
      </c>
      <c r="Z61" s="110">
        <f t="shared" si="88"/>
        <v>0</v>
      </c>
      <c r="AA61" s="110">
        <f t="shared" si="89"/>
        <v>0</v>
      </c>
      <c r="AB61" s="111">
        <f t="shared" si="90"/>
        <v>0</v>
      </c>
      <c r="AC61" s="112">
        <f t="shared" si="8"/>
        <v>0</v>
      </c>
      <c r="AD61" s="113">
        <f t="shared" si="9"/>
        <v>0</v>
      </c>
      <c r="AE61" s="111">
        <f t="shared" si="91"/>
        <v>0</v>
      </c>
      <c r="AF61" s="113">
        <f t="shared" si="11"/>
        <v>0</v>
      </c>
      <c r="AG61" s="113">
        <f t="shared" si="12"/>
        <v>0</v>
      </c>
      <c r="AH61" s="114">
        <f t="shared" si="42"/>
        <v>10.136666666666667</v>
      </c>
      <c r="AI61" s="102" t="str">
        <f t="shared" si="14"/>
        <v>X:8</v>
      </c>
      <c r="AJ61" s="102" t="str">
        <f t="shared" si="15"/>
        <v>NV11343775</v>
      </c>
      <c r="AK61" s="102" t="str">
        <f>IF(OR(J61&lt;D61,J61&gt;F61),"",
IFERROR(INDEX('3. Đơn xin nghỉ'!$K:$K,MATCH('4. Tổng hợp dữ liệu'!AJ61,'3. Đơn xin nghỉ'!$I:$I,0),1),
IF(AND(AU61="Không CC",I61&lt;&gt;1),"Ro:8","")))</f>
        <v/>
      </c>
      <c r="AL61" s="102" t="str">
        <f t="shared" si="16"/>
        <v/>
      </c>
      <c r="AM61" s="102" t="str">
        <f t="shared" si="92"/>
        <v>X:8</v>
      </c>
      <c r="AN61" s="102" t="s">
        <v>92</v>
      </c>
      <c r="AO61" s="102"/>
      <c r="AP61" s="115">
        <f>IFERROR(VLOOKUP(AN61,'Quy đổi công'!A:D,3,0),0)</f>
        <v>1</v>
      </c>
      <c r="AQ61" s="115">
        <f>IFERROR(VLOOKUP(AN61,'Quy đổi công'!A:D,4,0),0)</f>
        <v>0</v>
      </c>
      <c r="AR61" s="115">
        <f t="shared" si="17"/>
        <v>0</v>
      </c>
      <c r="AS61" s="115">
        <f t="shared" si="93"/>
        <v>1</v>
      </c>
      <c r="AT61" s="115">
        <f t="shared" si="94"/>
        <v>0</v>
      </c>
      <c r="AU61" s="102" t="str">
        <f t="shared" si="23"/>
        <v/>
      </c>
      <c r="AV61" s="102" t="str">
        <f t="shared" si="24"/>
        <v/>
      </c>
      <c r="AW61" s="102" t="str">
        <f t="shared" si="25"/>
        <v/>
      </c>
      <c r="AX61" s="102" t="str">
        <f t="shared" si="26"/>
        <v/>
      </c>
      <c r="AY61" s="102" t="str">
        <f t="shared" si="27"/>
        <v/>
      </c>
      <c r="AZ61" s="102"/>
      <c r="BA61" s="102">
        <f>IF(AV61&lt;&gt;0,COUNTIFS($A$7:A61,A61,$AV$7:AV61,"Quên check in"))
+IF(AW61&lt;&gt;0,COUNTIFS($A$7:A61,A61,$AW$7:AW61,"Quên check in"))
+IF(AX61&lt;&gt;0,COUNTIFS($A$7:A61,A61,$AX$7:AX61,"Quên check out"))
+IF(AY61&lt;&gt;0,COUNTIFS($A$7:A61,A61,$AY$7:AY61,"Quên check out"))</f>
        <v>0</v>
      </c>
      <c r="BB61" s="143">
        <f t="shared" si="28"/>
        <v>0</v>
      </c>
    </row>
    <row r="62" spans="1:54" s="83" customFormat="1" ht="14.1" customHeight="1" x14ac:dyDescent="0.3">
      <c r="A62" s="103" t="s">
        <v>9</v>
      </c>
      <c r="B62" s="104" t="s">
        <v>18</v>
      </c>
      <c r="C62" s="105">
        <v>4900000</v>
      </c>
      <c r="D62" s="106">
        <v>43437</v>
      </c>
      <c r="E62" s="107">
        <v>43617</v>
      </c>
      <c r="F62" s="107">
        <v>73415</v>
      </c>
      <c r="G62" s="105">
        <v>26</v>
      </c>
      <c r="H62" s="105">
        <f t="shared" si="82"/>
        <v>4</v>
      </c>
      <c r="I62" s="105"/>
      <c r="J62" s="108">
        <v>43775</v>
      </c>
      <c r="K62" s="108" t="str">
        <f t="shared" si="83"/>
        <v>NV11443775VàoSáng</v>
      </c>
      <c r="L62" s="102">
        <f>IFERROR(VLOOKUP(K62,'1. Vân tay'!$F:$G,2,0),0)</f>
        <v>0</v>
      </c>
      <c r="M62" s="108" t="str">
        <f t="shared" si="84"/>
        <v>NV11443775RaSáng</v>
      </c>
      <c r="N62" s="102">
        <f>IFERROR(VLOOKUP(M62,'1. Vân tay'!$F:$G,2,0),0)</f>
        <v>0</v>
      </c>
      <c r="O62" s="108" t="str">
        <f t="shared" si="85"/>
        <v>NV11443775VàoChiều</v>
      </c>
      <c r="P62" s="102">
        <f>IFERROR(VLOOKUP(O62,'1. Vân tay'!$F:$G,2,0),0)</f>
        <v>0</v>
      </c>
      <c r="Q62" s="108" t="str">
        <f t="shared" si="86"/>
        <v>NV11443775RaChiều</v>
      </c>
      <c r="R62" s="102">
        <f>IFERROR(VLOOKUP(Q62,'1. Vân tay'!$F:$G,2,0),0)</f>
        <v>0</v>
      </c>
      <c r="S62" s="102">
        <f t="shared" si="87"/>
        <v>0</v>
      </c>
      <c r="T62" s="109">
        <v>0.33333333333333331</v>
      </c>
      <c r="U62" s="109">
        <v>0.5</v>
      </c>
      <c r="V62" s="109">
        <v>0.5625</v>
      </c>
      <c r="W62" s="109">
        <v>0.72916666666666663</v>
      </c>
      <c r="X62" s="102">
        <f>HDSD!$F$4</f>
        <v>5</v>
      </c>
      <c r="Y62" s="102">
        <f>SUMIFS('2. Đi muộn về sớm'!$K:$K,
'2. Đi muộn về sớm'!$B:$B,$A62,
'2. Đi muộn về sớm'!$D:$D,$J62)</f>
        <v>0</v>
      </c>
      <c r="Z62" s="110">
        <f t="shared" si="88"/>
        <v>0</v>
      </c>
      <c r="AA62" s="110">
        <f t="shared" si="89"/>
        <v>0</v>
      </c>
      <c r="AB62" s="111">
        <f t="shared" si="90"/>
        <v>0</v>
      </c>
      <c r="AC62" s="112">
        <f t="shared" si="8"/>
        <v>0</v>
      </c>
      <c r="AD62" s="113">
        <f t="shared" si="9"/>
        <v>0</v>
      </c>
      <c r="AE62" s="111">
        <f t="shared" si="91"/>
        <v>0</v>
      </c>
      <c r="AF62" s="113">
        <f t="shared" si="11"/>
        <v>0</v>
      </c>
      <c r="AG62" s="113">
        <f t="shared" si="12"/>
        <v>0</v>
      </c>
      <c r="AH62" s="114">
        <f t="shared" si="42"/>
        <v>0</v>
      </c>
      <c r="AI62" s="102" t="str">
        <f t="shared" si="14"/>
        <v/>
      </c>
      <c r="AJ62" s="102" t="str">
        <f t="shared" si="15"/>
        <v>NV11443775</v>
      </c>
      <c r="AK62" s="102" t="str">
        <f>IF(OR(J62&lt;D62,J62&gt;F62),"",
IFERROR(INDEX('3. Đơn xin nghỉ'!$K:$K,MATCH('4. Tổng hợp dữ liệu'!AJ62,'3. Đơn xin nghỉ'!$I:$I,0),1),
IF(AND(AU62="Không CC",I62&lt;&gt;1),"Ro:8","")))</f>
        <v>P:8</v>
      </c>
      <c r="AL62" s="102" t="str">
        <f t="shared" si="16"/>
        <v/>
      </c>
      <c r="AM62" s="102" t="str">
        <f t="shared" si="92"/>
        <v>P:8</v>
      </c>
      <c r="AN62" s="102" t="s">
        <v>82</v>
      </c>
      <c r="AO62" s="102"/>
      <c r="AP62" s="115">
        <f>IFERROR(VLOOKUP(AN62,'Quy đổi công'!A:D,3,0),0)</f>
        <v>1</v>
      </c>
      <c r="AQ62" s="115">
        <f>IFERROR(VLOOKUP(AN62,'Quy đổi công'!A:D,4,0),0)</f>
        <v>0</v>
      </c>
      <c r="AR62" s="115">
        <f t="shared" si="17"/>
        <v>0</v>
      </c>
      <c r="AS62" s="115">
        <f t="shared" si="93"/>
        <v>1</v>
      </c>
      <c r="AT62" s="115">
        <f t="shared" si="94"/>
        <v>0</v>
      </c>
      <c r="AU62" s="102" t="str">
        <f t="shared" si="23"/>
        <v>Không CC</v>
      </c>
      <c r="AV62" s="102" t="str">
        <f t="shared" si="24"/>
        <v/>
      </c>
      <c r="AW62" s="102" t="str">
        <f t="shared" si="25"/>
        <v/>
      </c>
      <c r="AX62" s="102" t="str">
        <f t="shared" si="26"/>
        <v/>
      </c>
      <c r="AY62" s="102" t="str">
        <f t="shared" si="27"/>
        <v/>
      </c>
      <c r="AZ62" s="102"/>
      <c r="BA62" s="102">
        <f>IF(AV62&lt;&gt;0,COUNTIFS($A$7:A62,A62,$AV$7:AV62,"Quên check in"))
+IF(AW62&lt;&gt;0,COUNTIFS($A$7:A62,A62,$AW$7:AW62,"Quên check in"))
+IF(AX62&lt;&gt;0,COUNTIFS($A$7:A62,A62,$AX$7:AX62,"Quên check out"))
+IF(AY62&lt;&gt;0,COUNTIFS($A$7:A62,A62,$AY$7:AY62,"Quên check out"))</f>
        <v>0</v>
      </c>
      <c r="BB62" s="143">
        <f t="shared" si="28"/>
        <v>0</v>
      </c>
    </row>
    <row r="63" spans="1:54" s="83" customFormat="1" ht="14.1" customHeight="1" x14ac:dyDescent="0.3">
      <c r="A63" s="103" t="s">
        <v>10</v>
      </c>
      <c r="B63" s="104" t="s">
        <v>19</v>
      </c>
      <c r="C63" s="105">
        <v>5000000</v>
      </c>
      <c r="D63" s="106">
        <v>43445</v>
      </c>
      <c r="E63" s="107">
        <v>43647</v>
      </c>
      <c r="F63" s="107">
        <v>73415</v>
      </c>
      <c r="G63" s="105">
        <v>26</v>
      </c>
      <c r="H63" s="105">
        <f t="shared" si="82"/>
        <v>4</v>
      </c>
      <c r="I63" s="105"/>
      <c r="J63" s="108">
        <v>43775</v>
      </c>
      <c r="K63" s="108" t="str">
        <f t="shared" si="83"/>
        <v>NV11843775VàoSáng</v>
      </c>
      <c r="L63" s="102" t="str">
        <f>IFERROR(VLOOKUP(K63,'1. Vân tay'!$F:$G,2,0),0)</f>
        <v>08:04:21</v>
      </c>
      <c r="M63" s="108" t="str">
        <f t="shared" si="84"/>
        <v>NV11843775RaSáng</v>
      </c>
      <c r="N63" s="102">
        <f>IFERROR(VLOOKUP(M63,'1. Vân tay'!$F:$G,2,0),0)</f>
        <v>0</v>
      </c>
      <c r="O63" s="108" t="str">
        <f t="shared" si="85"/>
        <v>NV11843775VàoChiều</v>
      </c>
      <c r="P63" s="102">
        <f>IFERROR(VLOOKUP(O63,'1. Vân tay'!$F:$G,2,0),0)</f>
        <v>0</v>
      </c>
      <c r="Q63" s="108" t="str">
        <f t="shared" si="86"/>
        <v>NV11843775RaChiều</v>
      </c>
      <c r="R63" s="102" t="str">
        <f>IFERROR(VLOOKUP(Q63,'1. Vân tay'!$F:$G,2,0),0)</f>
        <v>17:43:40</v>
      </c>
      <c r="S63" s="102">
        <f t="shared" si="87"/>
        <v>0</v>
      </c>
      <c r="T63" s="109">
        <v>0.33333333333333331</v>
      </c>
      <c r="U63" s="109">
        <v>0.5</v>
      </c>
      <c r="V63" s="109">
        <v>0.5625</v>
      </c>
      <c r="W63" s="109">
        <v>0.72916666666666663</v>
      </c>
      <c r="X63" s="102">
        <f>HDSD!$F$4</f>
        <v>5</v>
      </c>
      <c r="Y63" s="102">
        <f>SUMIFS('2. Đi muộn về sớm'!$K:$K,
'2. Đi muộn về sớm'!$B:$B,$A63,
'2. Đi muộn về sớm'!$D:$D,$J63)</f>
        <v>0</v>
      </c>
      <c r="Z63" s="110">
        <f t="shared" si="88"/>
        <v>4.3499999999999996</v>
      </c>
      <c r="AA63" s="110">
        <f t="shared" si="89"/>
        <v>0</v>
      </c>
      <c r="AB63" s="111">
        <f t="shared" si="90"/>
        <v>4.3499999999999996</v>
      </c>
      <c r="AC63" s="112">
        <f t="shared" si="8"/>
        <v>0</v>
      </c>
      <c r="AD63" s="113">
        <f t="shared" si="9"/>
        <v>0</v>
      </c>
      <c r="AE63" s="111">
        <f t="shared" si="91"/>
        <v>0</v>
      </c>
      <c r="AF63" s="113">
        <f t="shared" si="11"/>
        <v>0</v>
      </c>
      <c r="AG63" s="113">
        <f t="shared" si="12"/>
        <v>0</v>
      </c>
      <c r="AH63" s="114">
        <f t="shared" si="42"/>
        <v>9.6552777777777781</v>
      </c>
      <c r="AI63" s="102" t="str">
        <f t="shared" si="14"/>
        <v>X:8</v>
      </c>
      <c r="AJ63" s="102" t="str">
        <f t="shared" si="15"/>
        <v>NV11843775</v>
      </c>
      <c r="AK63" s="102" t="str">
        <f>IF(OR(J63&lt;D63,J63&gt;F63),"",
IFERROR(INDEX('3. Đơn xin nghỉ'!$K:$K,MATCH('4. Tổng hợp dữ liệu'!AJ63,'3. Đơn xin nghỉ'!$I:$I,0),1),
IF(AND(AU63="Không CC",I63&lt;&gt;1),"Ro:8","")))</f>
        <v/>
      </c>
      <c r="AL63" s="102" t="str">
        <f t="shared" si="16"/>
        <v/>
      </c>
      <c r="AM63" s="102" t="str">
        <f t="shared" si="92"/>
        <v>X:8</v>
      </c>
      <c r="AN63" s="102" t="s">
        <v>92</v>
      </c>
      <c r="AO63" s="102"/>
      <c r="AP63" s="115">
        <f>IFERROR(VLOOKUP(AN63,'Quy đổi công'!A:D,3,0),0)</f>
        <v>1</v>
      </c>
      <c r="AQ63" s="115">
        <f>IFERROR(VLOOKUP(AN63,'Quy đổi công'!A:D,4,0),0)</f>
        <v>0</v>
      </c>
      <c r="AR63" s="115">
        <f t="shared" si="17"/>
        <v>0</v>
      </c>
      <c r="AS63" s="115">
        <f t="shared" si="93"/>
        <v>1</v>
      </c>
      <c r="AT63" s="115">
        <f t="shared" si="94"/>
        <v>0</v>
      </c>
      <c r="AU63" s="102" t="str">
        <f t="shared" si="23"/>
        <v/>
      </c>
      <c r="AV63" s="102" t="str">
        <f t="shared" si="24"/>
        <v/>
      </c>
      <c r="AW63" s="102" t="str">
        <f t="shared" si="25"/>
        <v/>
      </c>
      <c r="AX63" s="102" t="str">
        <f t="shared" si="26"/>
        <v/>
      </c>
      <c r="AY63" s="102" t="str">
        <f t="shared" si="27"/>
        <v/>
      </c>
      <c r="AZ63" s="102"/>
      <c r="BA63" s="102">
        <f>IF(AV63&lt;&gt;0,COUNTIFS($A$7:A63,A63,$AV$7:AV63,"Quên check in"))
+IF(AW63&lt;&gt;0,COUNTIFS($A$7:A63,A63,$AW$7:AW63,"Quên check in"))
+IF(AX63&lt;&gt;0,COUNTIFS($A$7:A63,A63,$AX$7:AX63,"Quên check out"))
+IF(AY63&lt;&gt;0,COUNTIFS($A$7:A63,A63,$AY$7:AY63,"Quên check out"))</f>
        <v>0</v>
      </c>
      <c r="BB63" s="143">
        <f t="shared" si="28"/>
        <v>0</v>
      </c>
    </row>
    <row r="64" spans="1:54" s="83" customFormat="1" ht="14.1" customHeight="1" x14ac:dyDescent="0.3">
      <c r="A64" s="103" t="s">
        <v>11</v>
      </c>
      <c r="B64" s="104" t="s">
        <v>20</v>
      </c>
      <c r="C64" s="105">
        <v>4700000</v>
      </c>
      <c r="D64" s="106">
        <v>43467</v>
      </c>
      <c r="E64" s="107">
        <v>43617</v>
      </c>
      <c r="F64" s="107">
        <v>73415</v>
      </c>
      <c r="G64" s="105">
        <v>26</v>
      </c>
      <c r="H64" s="105">
        <f t="shared" si="82"/>
        <v>4</v>
      </c>
      <c r="I64" s="105"/>
      <c r="J64" s="108">
        <v>43775</v>
      </c>
      <c r="K64" s="108" t="str">
        <f t="shared" si="83"/>
        <v>NV12243775VàoSáng</v>
      </c>
      <c r="L64" s="102" t="str">
        <f>IFERROR(VLOOKUP(K64,'1. Vân tay'!$F:$G,2,0),0)</f>
        <v>08:00:12</v>
      </c>
      <c r="M64" s="108" t="str">
        <f t="shared" si="84"/>
        <v>NV12243775RaSáng</v>
      </c>
      <c r="N64" s="102">
        <f>IFERROR(VLOOKUP(M64,'1. Vân tay'!$F:$G,2,0),0)</f>
        <v>0</v>
      </c>
      <c r="O64" s="108" t="str">
        <f t="shared" si="85"/>
        <v>NV12243775VàoChiều</v>
      </c>
      <c r="P64" s="102">
        <f>IFERROR(VLOOKUP(O64,'1. Vân tay'!$F:$G,2,0),0)</f>
        <v>0</v>
      </c>
      <c r="Q64" s="108" t="str">
        <f t="shared" si="86"/>
        <v>NV12243775RaChiều</v>
      </c>
      <c r="R64" s="102" t="str">
        <f>IFERROR(VLOOKUP(Q64,'1. Vân tay'!$F:$G,2,0),0)</f>
        <v>17:30:14</v>
      </c>
      <c r="S64" s="102">
        <f t="shared" si="87"/>
        <v>0</v>
      </c>
      <c r="T64" s="109">
        <v>0.33333333333333331</v>
      </c>
      <c r="U64" s="109">
        <v>0.5</v>
      </c>
      <c r="V64" s="109">
        <v>0.5625</v>
      </c>
      <c r="W64" s="109">
        <v>0.72916666666666663</v>
      </c>
      <c r="X64" s="102">
        <f>HDSD!$F$4</f>
        <v>5</v>
      </c>
      <c r="Y64" s="102">
        <f>SUMIFS('2. Đi muộn về sớm'!$K:$K,
'2. Đi muộn về sớm'!$B:$B,$A64,
'2. Đi muộn về sớm'!$D:$D,$J64)</f>
        <v>0</v>
      </c>
      <c r="Z64" s="110">
        <f t="shared" si="88"/>
        <v>0.2</v>
      </c>
      <c r="AA64" s="110">
        <f t="shared" si="89"/>
        <v>0</v>
      </c>
      <c r="AB64" s="111">
        <f t="shared" si="90"/>
        <v>0.2</v>
      </c>
      <c r="AC64" s="112">
        <f t="shared" si="8"/>
        <v>0</v>
      </c>
      <c r="AD64" s="113">
        <f t="shared" si="9"/>
        <v>0</v>
      </c>
      <c r="AE64" s="111">
        <f t="shared" si="91"/>
        <v>0</v>
      </c>
      <c r="AF64" s="113">
        <f t="shared" si="11"/>
        <v>0</v>
      </c>
      <c r="AG64" s="113">
        <f t="shared" si="12"/>
        <v>0</v>
      </c>
      <c r="AH64" s="114">
        <f t="shared" si="42"/>
        <v>9.5005555555555556</v>
      </c>
      <c r="AI64" s="102" t="str">
        <f t="shared" si="14"/>
        <v>X:8</v>
      </c>
      <c r="AJ64" s="102" t="str">
        <f t="shared" si="15"/>
        <v>NV12243775</v>
      </c>
      <c r="AK64" s="102" t="str">
        <f>IF(OR(J64&lt;D64,J64&gt;F64),"",
IFERROR(INDEX('3. Đơn xin nghỉ'!$K:$K,MATCH('4. Tổng hợp dữ liệu'!AJ64,'3. Đơn xin nghỉ'!$I:$I,0),1),
IF(AND(AU64="Không CC",I64&lt;&gt;1),"Ro:8","")))</f>
        <v/>
      </c>
      <c r="AL64" s="102" t="str">
        <f t="shared" si="16"/>
        <v/>
      </c>
      <c r="AM64" s="102" t="str">
        <f t="shared" si="92"/>
        <v>X:8</v>
      </c>
      <c r="AN64" s="102" t="s">
        <v>92</v>
      </c>
      <c r="AO64" s="102"/>
      <c r="AP64" s="115">
        <f>IFERROR(VLOOKUP(AN64,'Quy đổi công'!A:D,3,0),0)</f>
        <v>1</v>
      </c>
      <c r="AQ64" s="115">
        <f>IFERROR(VLOOKUP(AN64,'Quy đổi công'!A:D,4,0),0)</f>
        <v>0</v>
      </c>
      <c r="AR64" s="115">
        <f t="shared" si="17"/>
        <v>0</v>
      </c>
      <c r="AS64" s="115">
        <f t="shared" si="93"/>
        <v>1</v>
      </c>
      <c r="AT64" s="115">
        <f t="shared" si="94"/>
        <v>0</v>
      </c>
      <c r="AU64" s="102" t="str">
        <f t="shared" si="23"/>
        <v/>
      </c>
      <c r="AV64" s="102" t="str">
        <f t="shared" si="24"/>
        <v/>
      </c>
      <c r="AW64" s="102" t="str">
        <f t="shared" si="25"/>
        <v/>
      </c>
      <c r="AX64" s="102" t="str">
        <f t="shared" si="26"/>
        <v/>
      </c>
      <c r="AY64" s="102" t="str">
        <f t="shared" si="27"/>
        <v/>
      </c>
      <c r="AZ64" s="102"/>
      <c r="BA64" s="102">
        <f>IF(AV64&lt;&gt;0,COUNTIFS($A$7:A64,A64,$AV$7:AV64,"Quên check in"))
+IF(AW64&lt;&gt;0,COUNTIFS($A$7:A64,A64,$AW$7:AW64,"Quên check in"))
+IF(AX64&lt;&gt;0,COUNTIFS($A$7:A64,A64,$AX$7:AX64,"Quên check out"))
+IF(AY64&lt;&gt;0,COUNTIFS($A$7:A64,A64,$AY$7:AY64,"Quên check out"))</f>
        <v>1</v>
      </c>
      <c r="BB64" s="143">
        <f t="shared" si="28"/>
        <v>0</v>
      </c>
    </row>
    <row r="65" spans="1:54" s="83" customFormat="1" ht="14.1" customHeight="1" x14ac:dyDescent="0.3">
      <c r="A65" s="103" t="s">
        <v>12</v>
      </c>
      <c r="B65" s="104" t="s">
        <v>21</v>
      </c>
      <c r="C65" s="105">
        <v>5000000</v>
      </c>
      <c r="D65" s="106">
        <v>43482</v>
      </c>
      <c r="E65" s="107">
        <v>43647</v>
      </c>
      <c r="F65" s="107">
        <v>73415</v>
      </c>
      <c r="G65" s="105">
        <v>26</v>
      </c>
      <c r="H65" s="105">
        <f t="shared" si="82"/>
        <v>4</v>
      </c>
      <c r="I65" s="105"/>
      <c r="J65" s="108">
        <v>43775</v>
      </c>
      <c r="K65" s="108" t="str">
        <f t="shared" si="83"/>
        <v>NV12343775VàoSáng</v>
      </c>
      <c r="L65" s="102" t="str">
        <f>IFERROR(VLOOKUP(K65,'1. Vân tay'!$F:$G,2,0),0)</f>
        <v>07:51:56</v>
      </c>
      <c r="M65" s="108" t="str">
        <f t="shared" si="84"/>
        <v>NV12343775RaSáng</v>
      </c>
      <c r="N65" s="102">
        <f>IFERROR(VLOOKUP(M65,'1. Vân tay'!$F:$G,2,0),0)</f>
        <v>0</v>
      </c>
      <c r="O65" s="108" t="str">
        <f t="shared" si="85"/>
        <v>NV12343775VàoChiều</v>
      </c>
      <c r="P65" s="102">
        <f>IFERROR(VLOOKUP(O65,'1. Vân tay'!$F:$G,2,0),0)</f>
        <v>0</v>
      </c>
      <c r="Q65" s="108" t="str">
        <f t="shared" si="86"/>
        <v>NV12343775RaChiều</v>
      </c>
      <c r="R65" s="102" t="str">
        <f>IFERROR(VLOOKUP(Q65,'1. Vân tay'!$F:$G,2,0),0)</f>
        <v>17:34:37</v>
      </c>
      <c r="S65" s="102">
        <f t="shared" si="87"/>
        <v>0</v>
      </c>
      <c r="T65" s="109">
        <v>0.33333333333333331</v>
      </c>
      <c r="U65" s="109">
        <v>0.5</v>
      </c>
      <c r="V65" s="109">
        <v>0.5625</v>
      </c>
      <c r="W65" s="109">
        <v>0.72916666666666663</v>
      </c>
      <c r="X65" s="102">
        <f>HDSD!$F$4</f>
        <v>5</v>
      </c>
      <c r="Y65" s="102">
        <f>SUMIFS('2. Đi muộn về sớm'!$K:$K,
'2. Đi muộn về sớm'!$B:$B,$A65,
'2. Đi muộn về sớm'!$D:$D,$J65)</f>
        <v>0</v>
      </c>
      <c r="Z65" s="110">
        <f t="shared" si="88"/>
        <v>0</v>
      </c>
      <c r="AA65" s="110">
        <f t="shared" si="89"/>
        <v>0</v>
      </c>
      <c r="AB65" s="111">
        <f t="shared" si="90"/>
        <v>0</v>
      </c>
      <c r="AC65" s="112">
        <f t="shared" si="8"/>
        <v>0</v>
      </c>
      <c r="AD65" s="113">
        <f t="shared" si="9"/>
        <v>0</v>
      </c>
      <c r="AE65" s="111">
        <f t="shared" si="91"/>
        <v>0</v>
      </c>
      <c r="AF65" s="113">
        <f t="shared" si="11"/>
        <v>0</v>
      </c>
      <c r="AG65" s="113">
        <f t="shared" si="12"/>
        <v>0</v>
      </c>
      <c r="AH65" s="114">
        <f t="shared" si="42"/>
        <v>9.7113888888888873</v>
      </c>
      <c r="AI65" s="102" t="str">
        <f t="shared" si="14"/>
        <v>X:8</v>
      </c>
      <c r="AJ65" s="102" t="str">
        <f t="shared" si="15"/>
        <v>NV12343775</v>
      </c>
      <c r="AK65" s="102" t="str">
        <f>IF(OR(J65&lt;D65,J65&gt;F65),"",
IFERROR(INDEX('3. Đơn xin nghỉ'!$K:$K,MATCH('4. Tổng hợp dữ liệu'!AJ65,'3. Đơn xin nghỉ'!$I:$I,0),1),
IF(AND(AU65="Không CC",I65&lt;&gt;1),"Ro:8","")))</f>
        <v/>
      </c>
      <c r="AL65" s="102" t="str">
        <f t="shared" si="16"/>
        <v/>
      </c>
      <c r="AM65" s="102" t="str">
        <f t="shared" si="92"/>
        <v>X:8</v>
      </c>
      <c r="AN65" s="102" t="s">
        <v>92</v>
      </c>
      <c r="AO65" s="102"/>
      <c r="AP65" s="115">
        <f>IFERROR(VLOOKUP(AN65,'Quy đổi công'!A:D,3,0),0)</f>
        <v>1</v>
      </c>
      <c r="AQ65" s="115">
        <f>IFERROR(VLOOKUP(AN65,'Quy đổi công'!A:D,4,0),0)</f>
        <v>0</v>
      </c>
      <c r="AR65" s="115">
        <f t="shared" si="17"/>
        <v>0</v>
      </c>
      <c r="AS65" s="115">
        <f t="shared" si="93"/>
        <v>1</v>
      </c>
      <c r="AT65" s="115">
        <f t="shared" si="94"/>
        <v>0</v>
      </c>
      <c r="AU65" s="102" t="str">
        <f t="shared" si="23"/>
        <v/>
      </c>
      <c r="AV65" s="102" t="str">
        <f t="shared" si="24"/>
        <v/>
      </c>
      <c r="AW65" s="102" t="str">
        <f t="shared" si="25"/>
        <v/>
      </c>
      <c r="AX65" s="102" t="str">
        <f t="shared" si="26"/>
        <v/>
      </c>
      <c r="AY65" s="102" t="str">
        <f t="shared" si="27"/>
        <v/>
      </c>
      <c r="AZ65" s="102"/>
      <c r="BA65" s="102">
        <f>IF(AV65&lt;&gt;0,COUNTIFS($A$7:A65,A65,$AV$7:AV65,"Quên check in"))
+IF(AW65&lt;&gt;0,COUNTIFS($A$7:A65,A65,$AW$7:AW65,"Quên check in"))
+IF(AX65&lt;&gt;0,COUNTIFS($A$7:A65,A65,$AX$7:AX65,"Quên check out"))
+IF(AY65&lt;&gt;0,COUNTIFS($A$7:A65,A65,$AY$7:AY65,"Quên check out"))</f>
        <v>0</v>
      </c>
      <c r="BB65" s="143">
        <f t="shared" si="28"/>
        <v>0</v>
      </c>
    </row>
    <row r="66" spans="1:54" s="83" customFormat="1" ht="14.1" customHeight="1" x14ac:dyDescent="0.3">
      <c r="A66" s="103" t="s">
        <v>13</v>
      </c>
      <c r="B66" s="104" t="s">
        <v>22</v>
      </c>
      <c r="C66" s="105">
        <v>4700000</v>
      </c>
      <c r="D66" s="106">
        <v>43531</v>
      </c>
      <c r="E66" s="107">
        <v>43647</v>
      </c>
      <c r="F66" s="107">
        <v>73415</v>
      </c>
      <c r="G66" s="105">
        <v>26</v>
      </c>
      <c r="H66" s="105">
        <f t="shared" si="82"/>
        <v>4</v>
      </c>
      <c r="I66" s="105"/>
      <c r="J66" s="108">
        <v>43775</v>
      </c>
      <c r="K66" s="108" t="str">
        <f t="shared" si="83"/>
        <v>NV12643775VàoSáng</v>
      </c>
      <c r="L66" s="102" t="str">
        <f>IFERROR(VLOOKUP(K66,'1. Vân tay'!$F:$G,2,0),0)</f>
        <v>07:56:55</v>
      </c>
      <c r="M66" s="108" t="str">
        <f t="shared" si="84"/>
        <v>NV12643775RaSáng</v>
      </c>
      <c r="N66" s="102">
        <f>IFERROR(VLOOKUP(M66,'1. Vân tay'!$F:$G,2,0),0)</f>
        <v>0</v>
      </c>
      <c r="O66" s="108" t="str">
        <f t="shared" si="85"/>
        <v>NV12643775VàoChiều</v>
      </c>
      <c r="P66" s="102">
        <f>IFERROR(VLOOKUP(O66,'1. Vân tay'!$F:$G,2,0),0)</f>
        <v>0</v>
      </c>
      <c r="Q66" s="108" t="str">
        <f t="shared" si="86"/>
        <v>NV12643775RaChiều</v>
      </c>
      <c r="R66" s="102" t="str">
        <f>IFERROR(VLOOKUP(Q66,'1. Vân tay'!$F:$G,2,0),0)</f>
        <v>17:30:09</v>
      </c>
      <c r="S66" s="102">
        <f t="shared" si="87"/>
        <v>0</v>
      </c>
      <c r="T66" s="109">
        <v>0.33333333333333331</v>
      </c>
      <c r="U66" s="109">
        <v>0.5</v>
      </c>
      <c r="V66" s="109">
        <v>0.5625</v>
      </c>
      <c r="W66" s="109">
        <v>0.72916666666666663</v>
      </c>
      <c r="X66" s="102">
        <f>HDSD!$F$4</f>
        <v>5</v>
      </c>
      <c r="Y66" s="102">
        <f>SUMIFS('2. Đi muộn về sớm'!$K:$K,
'2. Đi muộn về sớm'!$B:$B,$A66,
'2. Đi muộn về sớm'!$D:$D,$J66)</f>
        <v>0</v>
      </c>
      <c r="Z66" s="110">
        <f t="shared" si="88"/>
        <v>0</v>
      </c>
      <c r="AA66" s="110">
        <f t="shared" si="89"/>
        <v>0</v>
      </c>
      <c r="AB66" s="111">
        <f t="shared" si="90"/>
        <v>0</v>
      </c>
      <c r="AC66" s="112">
        <f t="shared" si="8"/>
        <v>0</v>
      </c>
      <c r="AD66" s="113">
        <f t="shared" si="9"/>
        <v>0</v>
      </c>
      <c r="AE66" s="111">
        <f t="shared" si="91"/>
        <v>0</v>
      </c>
      <c r="AF66" s="113">
        <f t="shared" si="11"/>
        <v>0</v>
      </c>
      <c r="AG66" s="113">
        <f t="shared" si="12"/>
        <v>0</v>
      </c>
      <c r="AH66" s="114">
        <f t="shared" si="42"/>
        <v>9.5538888888888902</v>
      </c>
      <c r="AI66" s="102" t="str">
        <f t="shared" si="14"/>
        <v>X:8</v>
      </c>
      <c r="AJ66" s="102" t="str">
        <f t="shared" si="15"/>
        <v>NV12643775</v>
      </c>
      <c r="AK66" s="102" t="str">
        <f>IF(OR(J66&lt;D66,J66&gt;F66),"",
IFERROR(INDEX('3. Đơn xin nghỉ'!$K:$K,MATCH('4. Tổng hợp dữ liệu'!AJ66,'3. Đơn xin nghỉ'!$I:$I,0),1),
IF(AND(AU66="Không CC",I66&lt;&gt;1),"Ro:8","")))</f>
        <v/>
      </c>
      <c r="AL66" s="102" t="str">
        <f t="shared" si="16"/>
        <v/>
      </c>
      <c r="AM66" s="102" t="str">
        <f t="shared" si="92"/>
        <v>X:8</v>
      </c>
      <c r="AN66" s="102" t="s">
        <v>92</v>
      </c>
      <c r="AO66" s="102"/>
      <c r="AP66" s="115">
        <f>IFERROR(VLOOKUP(AN66,'Quy đổi công'!A:D,3,0),0)</f>
        <v>1</v>
      </c>
      <c r="AQ66" s="115">
        <f>IFERROR(VLOOKUP(AN66,'Quy đổi công'!A:D,4,0),0)</f>
        <v>0</v>
      </c>
      <c r="AR66" s="115">
        <f t="shared" si="17"/>
        <v>0</v>
      </c>
      <c r="AS66" s="115">
        <f t="shared" si="93"/>
        <v>1</v>
      </c>
      <c r="AT66" s="115">
        <f t="shared" si="94"/>
        <v>0</v>
      </c>
      <c r="AU66" s="102" t="str">
        <f t="shared" si="23"/>
        <v/>
      </c>
      <c r="AV66" s="102" t="str">
        <f t="shared" si="24"/>
        <v/>
      </c>
      <c r="AW66" s="102" t="str">
        <f t="shared" si="25"/>
        <v/>
      </c>
      <c r="AX66" s="102" t="str">
        <f t="shared" si="26"/>
        <v/>
      </c>
      <c r="AY66" s="102" t="str">
        <f t="shared" si="27"/>
        <v/>
      </c>
      <c r="AZ66" s="102"/>
      <c r="BA66" s="102">
        <f>IF(AV66&lt;&gt;0,COUNTIFS($A$7:A66,A66,$AV$7:AV66,"Quên check in"))
+IF(AW66&lt;&gt;0,COUNTIFS($A$7:A66,A66,$AW$7:AW66,"Quên check in"))
+IF(AX66&lt;&gt;0,COUNTIFS($A$7:A66,A66,$AX$7:AX66,"Quên check out"))
+IF(AY66&lt;&gt;0,COUNTIFS($A$7:A66,A66,$AY$7:AY66,"Quên check out"))</f>
        <v>0</v>
      </c>
      <c r="BB66" s="143">
        <f t="shared" si="28"/>
        <v>0</v>
      </c>
    </row>
    <row r="67" spans="1:54" s="83" customFormat="1" ht="14.1" customHeight="1" x14ac:dyDescent="0.3">
      <c r="A67" s="103" t="s">
        <v>4</v>
      </c>
      <c r="B67" s="104" t="s">
        <v>14</v>
      </c>
      <c r="C67" s="105">
        <v>4700000</v>
      </c>
      <c r="D67" s="106">
        <v>43388</v>
      </c>
      <c r="E67" s="107">
        <v>43525</v>
      </c>
      <c r="F67" s="107">
        <v>73415</v>
      </c>
      <c r="G67" s="105">
        <v>26</v>
      </c>
      <c r="H67" s="105">
        <f t="shared" ref="H67:H76" si="95">WEEKDAY(J67,1)</f>
        <v>5</v>
      </c>
      <c r="I67" s="105"/>
      <c r="J67" s="108">
        <v>43776</v>
      </c>
      <c r="K67" s="108" t="str">
        <f t="shared" ref="K67:K76" si="96">$A67&amp;$J67&amp;"Vào"&amp;"Sáng"</f>
        <v>NV10143776VàoSáng</v>
      </c>
      <c r="L67" s="102" t="str">
        <f>IFERROR(VLOOKUP(K67,'1. Vân tay'!$F:$G,2,0),0)</f>
        <v>07:54:30</v>
      </c>
      <c r="M67" s="108" t="str">
        <f t="shared" ref="M67:M76" si="97">$A67&amp;$J67&amp;"Ra"&amp;"Sáng"</f>
        <v>NV10143776RaSáng</v>
      </c>
      <c r="N67" s="102">
        <f>IFERROR(VLOOKUP(M67,'1. Vân tay'!$F:$G,2,0),0)</f>
        <v>0</v>
      </c>
      <c r="O67" s="108" t="str">
        <f t="shared" ref="O67:O76" si="98">$A67&amp;$J67&amp;"Vào"&amp;"Chiều"</f>
        <v>NV10143776VàoChiều</v>
      </c>
      <c r="P67" s="102">
        <f>IFERROR(VLOOKUP(O67,'1. Vân tay'!$F:$G,2,0),0)</f>
        <v>0</v>
      </c>
      <c r="Q67" s="108" t="str">
        <f t="shared" ref="Q67:Q76" si="99">$A67&amp;$J67&amp;"Ra"&amp;"Chiều"</f>
        <v>NV10143776RaChiều</v>
      </c>
      <c r="R67" s="102" t="str">
        <f>IFERROR(VLOOKUP(Q67,'1. Vân tay'!$F:$G,2,0),0)</f>
        <v>17:33:17</v>
      </c>
      <c r="S67" s="102">
        <f t="shared" ref="S67:S76" si="100">IF(OR(
(AND(L67&lt;&gt;0,P67&lt;&gt;0)),
(AND(N67&lt;&gt;0,R67&lt;&gt;0))),"Kiểm tra",0)</f>
        <v>0</v>
      </c>
      <c r="T67" s="109">
        <v>0.33333333333333331</v>
      </c>
      <c r="U67" s="109">
        <v>0.5</v>
      </c>
      <c r="V67" s="109">
        <v>0.5625</v>
      </c>
      <c r="W67" s="109">
        <v>0.72916666666666663</v>
      </c>
      <c r="X67" s="102">
        <f>HDSD!$F$4</f>
        <v>5</v>
      </c>
      <c r="Y67" s="102">
        <f>SUMIFS('2. Đi muộn về sớm'!$K:$K,
'2. Đi muộn về sớm'!$B:$B,$A67,
'2. Đi muộn về sớm'!$D:$D,$J67)</f>
        <v>0</v>
      </c>
      <c r="Z67" s="110">
        <f t="shared" ref="Z67:Z76" si="101">IF(L67=0,0,IFERROR((HOUR(L67-T67)*60+MINUTE(L67-T67)+SECOND(L67-T67)/60),0))
+IF(N67=0,0, IFERROR((HOUR(U67-N67)*60+MINUTE(U67-N67)+SECOND(U67-N67)/60),0))
+IF(P67=0,0, IFERROR((HOUR(P67-V67)*60+MINUTE(P67-V67)+SECOND(P67-V67)/60),0))
+IF(R67=0,0, IFERROR((HOUR(W67-R67)*60+MINUTE(W67-R67)+SECOND(W67-R67)/60),0))</f>
        <v>0</v>
      </c>
      <c r="AA67" s="110">
        <f t="shared" ref="AA67:AA76" si="102">IF(L67=0,0,IFERROR((HOUR(L67-"09:00:00")*60+MINUTE(L67-"09:00:00")+SECOND(L67-"09:00:00")/60),0))
+IF(N67=0,0, IFERROR((HOUR(U67-N67)*60+MINUTE(U67-N67)+SECOND(U67-N67)/60),0))
+IF(P67=0,0, IFERROR((HOUR(P67-V67)*60+MINUTE(P67-V67)+SECOND(P67-V67)/60),0))
+IF(R67=0,0, IFERROR((HOUR("16:30:00"-R67)*60+MINUTE("16:30:00"-R67)+SECOND("16:30:00"-R67)/60),0))</f>
        <v>0</v>
      </c>
      <c r="AB67" s="111">
        <f t="shared" ref="AB67:AB76" si="103">Z67-AA67</f>
        <v>0</v>
      </c>
      <c r="AC67" s="112">
        <f t="shared" si="8"/>
        <v>0</v>
      </c>
      <c r="AD67" s="113">
        <f t="shared" si="9"/>
        <v>0</v>
      </c>
      <c r="AE67" s="111">
        <f t="shared" ref="AE67:AE76" si="104">AA67/60/8</f>
        <v>0</v>
      </c>
      <c r="AF67" s="113">
        <f t="shared" si="11"/>
        <v>0</v>
      </c>
      <c r="AG67" s="113">
        <f t="shared" si="12"/>
        <v>0</v>
      </c>
      <c r="AH67" s="114">
        <f t="shared" si="42"/>
        <v>9.6463888888888878</v>
      </c>
      <c r="AI67" s="102" t="str">
        <f t="shared" si="14"/>
        <v>X:8</v>
      </c>
      <c r="AJ67" s="102" t="str">
        <f t="shared" si="15"/>
        <v>NV10143776</v>
      </c>
      <c r="AK67" s="102" t="str">
        <f>IF(OR(J67&lt;D67,J67&gt;F67),"",
IFERROR(INDEX('3. Đơn xin nghỉ'!$K:$K,MATCH('4. Tổng hợp dữ liệu'!AJ67,'3. Đơn xin nghỉ'!$I:$I,0),1),
IF(AND(AU67="Không CC",I67&lt;&gt;1),"Ro:8","")))</f>
        <v/>
      </c>
      <c r="AL67" s="102" t="str">
        <f t="shared" si="16"/>
        <v/>
      </c>
      <c r="AM67" s="102" t="str">
        <f t="shared" ref="AM67:AM76" si="105">IF(OR(AI67="",AK67=""),AI67&amp;AK67,AI67&amp;","&amp;AK67)&amp;AL67</f>
        <v>X:8</v>
      </c>
      <c r="AN67" s="102" t="s">
        <v>92</v>
      </c>
      <c r="AO67" s="102"/>
      <c r="AP67" s="115">
        <f>IFERROR(VLOOKUP(AN67,'Quy đổi công'!A:D,3,0),0)</f>
        <v>1</v>
      </c>
      <c r="AQ67" s="115">
        <f>IFERROR(VLOOKUP(AN67,'Quy đổi công'!A:D,4,0),0)</f>
        <v>0</v>
      </c>
      <c r="AR67" s="115">
        <f t="shared" si="17"/>
        <v>0</v>
      </c>
      <c r="AS67" s="115">
        <f t="shared" ref="AS67:AS76" si="106">AP67-AR67</f>
        <v>1</v>
      </c>
      <c r="AT67" s="115">
        <f t="shared" ref="AT67:AT76" si="107">IF(AN67="P8",1)
+IF(OR(AN67="X:4,P:4",AN67="P:4,Rv:4",AN67="P:4,Ro:4"),1/2)</f>
        <v>0</v>
      </c>
      <c r="AU67" s="102" t="str">
        <f t="shared" si="23"/>
        <v/>
      </c>
      <c r="AV67" s="102" t="str">
        <f t="shared" si="24"/>
        <v/>
      </c>
      <c r="AW67" s="102" t="str">
        <f t="shared" si="25"/>
        <v/>
      </c>
      <c r="AX67" s="102" t="str">
        <f t="shared" si="26"/>
        <v/>
      </c>
      <c r="AY67" s="102" t="str">
        <f t="shared" si="27"/>
        <v/>
      </c>
      <c r="AZ67" s="102"/>
      <c r="BA67" s="102">
        <f>IF(AV67&lt;&gt;0,COUNTIFS($A$7:A67,A67,$AV$7:AV67,"Quên check in"))
+IF(AW67&lt;&gt;0,COUNTIFS($A$7:A67,A67,$AW$7:AW67,"Quên check in"))
+IF(AX67&lt;&gt;0,COUNTIFS($A$7:A67,A67,$AX$7:AX67,"Quên check out"))
+IF(AY67&lt;&gt;0,COUNTIFS($A$7:A67,A67,$AY$7:AY67,"Quên check out"))</f>
        <v>0</v>
      </c>
      <c r="BB67" s="143">
        <f t="shared" si="28"/>
        <v>0</v>
      </c>
    </row>
    <row r="68" spans="1:54" s="83" customFormat="1" ht="14.1" customHeight="1" x14ac:dyDescent="0.3">
      <c r="A68" s="103" t="s">
        <v>5</v>
      </c>
      <c r="B68" s="104" t="s">
        <v>28</v>
      </c>
      <c r="C68" s="105">
        <v>10000000</v>
      </c>
      <c r="D68" s="106">
        <v>43409</v>
      </c>
      <c r="E68" s="107">
        <v>43678</v>
      </c>
      <c r="F68" s="107">
        <v>73415</v>
      </c>
      <c r="G68" s="105">
        <v>26</v>
      </c>
      <c r="H68" s="105">
        <f t="shared" si="95"/>
        <v>5</v>
      </c>
      <c r="I68" s="105"/>
      <c r="J68" s="108">
        <v>43776</v>
      </c>
      <c r="K68" s="108" t="str">
        <f t="shared" si="96"/>
        <v>NV10743776VàoSáng</v>
      </c>
      <c r="L68" s="102" t="str">
        <f>IFERROR(VLOOKUP(K68,'1. Vân tay'!$F:$G,2,0),0)</f>
        <v>07:49:46</v>
      </c>
      <c r="M68" s="108" t="str">
        <f t="shared" si="97"/>
        <v>NV10743776RaSáng</v>
      </c>
      <c r="N68" s="102">
        <f>IFERROR(VLOOKUP(M68,'1. Vân tay'!$F:$G,2,0),0)</f>
        <v>0</v>
      </c>
      <c r="O68" s="108" t="str">
        <f t="shared" si="98"/>
        <v>NV10743776VàoChiều</v>
      </c>
      <c r="P68" s="102">
        <f>IFERROR(VLOOKUP(O68,'1. Vân tay'!$F:$G,2,0),0)</f>
        <v>0</v>
      </c>
      <c r="Q68" s="108" t="str">
        <f t="shared" si="99"/>
        <v>NV10743776RaChiều</v>
      </c>
      <c r="R68" s="102" t="str">
        <f>IFERROR(VLOOKUP(Q68,'1. Vân tay'!$F:$G,2,0),0)</f>
        <v>17:33:45</v>
      </c>
      <c r="S68" s="102">
        <f t="shared" si="100"/>
        <v>0</v>
      </c>
      <c r="T68" s="109">
        <v>0.33333333333333331</v>
      </c>
      <c r="U68" s="109">
        <v>0.5</v>
      </c>
      <c r="V68" s="109">
        <v>0.5625</v>
      </c>
      <c r="W68" s="109">
        <v>0.72916666666666663</v>
      </c>
      <c r="X68" s="102">
        <f>HDSD!$F$4</f>
        <v>5</v>
      </c>
      <c r="Y68" s="102">
        <f>SUMIFS('2. Đi muộn về sớm'!$K:$K,
'2. Đi muộn về sớm'!$B:$B,$A68,
'2. Đi muộn về sớm'!$D:$D,$J68)</f>
        <v>0</v>
      </c>
      <c r="Z68" s="110">
        <f t="shared" si="101"/>
        <v>0</v>
      </c>
      <c r="AA68" s="110">
        <f t="shared" si="102"/>
        <v>0</v>
      </c>
      <c r="AB68" s="111">
        <f t="shared" si="103"/>
        <v>0</v>
      </c>
      <c r="AC68" s="112">
        <f t="shared" si="8"/>
        <v>0</v>
      </c>
      <c r="AD68" s="113">
        <f t="shared" si="9"/>
        <v>0</v>
      </c>
      <c r="AE68" s="111">
        <f t="shared" si="104"/>
        <v>0</v>
      </c>
      <c r="AF68" s="113">
        <f t="shared" si="11"/>
        <v>0</v>
      </c>
      <c r="AG68" s="113">
        <f t="shared" si="12"/>
        <v>0</v>
      </c>
      <c r="AH68" s="114">
        <f t="shared" si="42"/>
        <v>9.7330555555555556</v>
      </c>
      <c r="AI68" s="102" t="str">
        <f t="shared" si="14"/>
        <v>X:8</v>
      </c>
      <c r="AJ68" s="102" t="str">
        <f t="shared" si="15"/>
        <v>NV10743776</v>
      </c>
      <c r="AK68" s="102" t="str">
        <f>IF(OR(J68&lt;D68,J68&gt;F68),"",
IFERROR(INDEX('3. Đơn xin nghỉ'!$K:$K,MATCH('4. Tổng hợp dữ liệu'!AJ68,'3. Đơn xin nghỉ'!$I:$I,0),1),
IF(AND(AU68="Không CC",I68&lt;&gt;1),"Ro:8","")))</f>
        <v/>
      </c>
      <c r="AL68" s="102" t="str">
        <f t="shared" si="16"/>
        <v/>
      </c>
      <c r="AM68" s="102" t="str">
        <f t="shared" si="105"/>
        <v>X:8</v>
      </c>
      <c r="AN68" s="102" t="s">
        <v>92</v>
      </c>
      <c r="AO68" s="102"/>
      <c r="AP68" s="115">
        <f>IFERROR(VLOOKUP(AN68,'Quy đổi công'!A:D,3,0),0)</f>
        <v>1</v>
      </c>
      <c r="AQ68" s="115">
        <f>IFERROR(VLOOKUP(AN68,'Quy đổi công'!A:D,4,0),0)</f>
        <v>0</v>
      </c>
      <c r="AR68" s="115">
        <f t="shared" si="17"/>
        <v>0</v>
      </c>
      <c r="AS68" s="115">
        <f t="shared" si="106"/>
        <v>1</v>
      </c>
      <c r="AT68" s="115">
        <f t="shared" si="107"/>
        <v>0</v>
      </c>
      <c r="AU68" s="102" t="str">
        <f t="shared" si="23"/>
        <v/>
      </c>
      <c r="AV68" s="102" t="str">
        <f t="shared" si="24"/>
        <v/>
      </c>
      <c r="AW68" s="102" t="str">
        <f t="shared" si="25"/>
        <v/>
      </c>
      <c r="AX68" s="102" t="str">
        <f t="shared" si="26"/>
        <v/>
      </c>
      <c r="AY68" s="102" t="str">
        <f t="shared" si="27"/>
        <v/>
      </c>
      <c r="AZ68" s="102"/>
      <c r="BA68" s="102">
        <f>IF(AV68&lt;&gt;0,COUNTIFS($A$7:A68,A68,$AV$7:AV68,"Quên check in"))
+IF(AW68&lt;&gt;0,COUNTIFS($A$7:A68,A68,$AW$7:AW68,"Quên check in"))
+IF(AX68&lt;&gt;0,COUNTIFS($A$7:A68,A68,$AX$7:AX68,"Quên check out"))
+IF(AY68&lt;&gt;0,COUNTIFS($A$7:A68,A68,$AY$7:AY68,"Quên check out"))</f>
        <v>0</v>
      </c>
      <c r="BB68" s="143">
        <f t="shared" si="28"/>
        <v>0</v>
      </c>
    </row>
    <row r="69" spans="1:54" s="83" customFormat="1" ht="14.1" customHeight="1" x14ac:dyDescent="0.3">
      <c r="A69" s="103" t="s">
        <v>6</v>
      </c>
      <c r="B69" s="104" t="s">
        <v>15</v>
      </c>
      <c r="C69" s="105">
        <v>4700000</v>
      </c>
      <c r="D69" s="106">
        <v>43409</v>
      </c>
      <c r="E69" s="107">
        <v>43617</v>
      </c>
      <c r="F69" s="107">
        <v>73415</v>
      </c>
      <c r="G69" s="105">
        <v>26</v>
      </c>
      <c r="H69" s="105">
        <f t="shared" si="95"/>
        <v>5</v>
      </c>
      <c r="I69" s="105"/>
      <c r="J69" s="108">
        <v>43776</v>
      </c>
      <c r="K69" s="108" t="str">
        <f t="shared" si="96"/>
        <v>NV10843776VàoSáng</v>
      </c>
      <c r="L69" s="102" t="str">
        <f>IFERROR(VLOOKUP(K69,'1. Vân tay'!$F:$G,2,0),0)</f>
        <v>08:05:21</v>
      </c>
      <c r="M69" s="108" t="str">
        <f t="shared" si="97"/>
        <v>NV10843776RaSáng</v>
      </c>
      <c r="N69" s="102">
        <f>IFERROR(VLOOKUP(M69,'1. Vân tay'!$F:$G,2,0),0)</f>
        <v>0</v>
      </c>
      <c r="O69" s="108" t="str">
        <f t="shared" si="98"/>
        <v>NV10843776VàoChiều</v>
      </c>
      <c r="P69" s="102">
        <f>IFERROR(VLOOKUP(O69,'1. Vân tay'!$F:$G,2,0),0)</f>
        <v>0</v>
      </c>
      <c r="Q69" s="108" t="str">
        <f t="shared" si="99"/>
        <v>NV10843776RaChiều</v>
      </c>
      <c r="R69" s="102" t="str">
        <f>IFERROR(VLOOKUP(Q69,'1. Vân tay'!$F:$G,2,0),0)</f>
        <v>17:41:12</v>
      </c>
      <c r="S69" s="102">
        <f t="shared" si="100"/>
        <v>0</v>
      </c>
      <c r="T69" s="109">
        <v>0.33333333333333331</v>
      </c>
      <c r="U69" s="109">
        <v>0.5</v>
      </c>
      <c r="V69" s="109">
        <v>0.5625</v>
      </c>
      <c r="W69" s="109">
        <v>0.72916666666666663</v>
      </c>
      <c r="X69" s="102">
        <f>HDSD!$F$4</f>
        <v>5</v>
      </c>
      <c r="Y69" s="102">
        <f>SUMIFS('2. Đi muộn về sớm'!$K:$K,
'2. Đi muộn về sớm'!$B:$B,$A69,
'2. Đi muộn về sớm'!$D:$D,$J69)</f>
        <v>0</v>
      </c>
      <c r="Z69" s="110">
        <f t="shared" si="101"/>
        <v>5.35</v>
      </c>
      <c r="AA69" s="110">
        <f t="shared" si="102"/>
        <v>0</v>
      </c>
      <c r="AB69" s="111">
        <f t="shared" si="103"/>
        <v>5.35</v>
      </c>
      <c r="AC69" s="112">
        <f t="shared" si="8"/>
        <v>0.34999999999999964</v>
      </c>
      <c r="AD69" s="113">
        <f t="shared" si="9"/>
        <v>699.99999999999932</v>
      </c>
      <c r="AE69" s="111">
        <f t="shared" si="104"/>
        <v>0</v>
      </c>
      <c r="AF69" s="113">
        <f t="shared" si="11"/>
        <v>0</v>
      </c>
      <c r="AG69" s="113">
        <f t="shared" si="12"/>
        <v>699.99999999999932</v>
      </c>
      <c r="AH69" s="114">
        <f t="shared" si="42"/>
        <v>9.5975000000000001</v>
      </c>
      <c r="AI69" s="102" t="str">
        <f t="shared" si="14"/>
        <v>X:8</v>
      </c>
      <c r="AJ69" s="102" t="str">
        <f t="shared" si="15"/>
        <v>NV10843776</v>
      </c>
      <c r="AK69" s="102" t="str">
        <f>IF(OR(J69&lt;D69,J69&gt;F69),"",
IFERROR(INDEX('3. Đơn xin nghỉ'!$K:$K,MATCH('4. Tổng hợp dữ liệu'!AJ69,'3. Đơn xin nghỉ'!$I:$I,0),1),
IF(AND(AU69="Không CC",I69&lt;&gt;1),"Ro:8","")))</f>
        <v/>
      </c>
      <c r="AL69" s="102" t="str">
        <f t="shared" si="16"/>
        <v/>
      </c>
      <c r="AM69" s="102" t="str">
        <f t="shared" si="105"/>
        <v>X:8</v>
      </c>
      <c r="AN69" s="102" t="s">
        <v>92</v>
      </c>
      <c r="AO69" s="102"/>
      <c r="AP69" s="115">
        <f>IFERROR(VLOOKUP(AN69,'Quy đổi công'!A:D,3,0),0)</f>
        <v>1</v>
      </c>
      <c r="AQ69" s="115">
        <f>IFERROR(VLOOKUP(AN69,'Quy đổi công'!A:D,4,0),0)</f>
        <v>0</v>
      </c>
      <c r="AR69" s="115">
        <f t="shared" si="17"/>
        <v>0</v>
      </c>
      <c r="AS69" s="115">
        <f t="shared" si="106"/>
        <v>1</v>
      </c>
      <c r="AT69" s="115">
        <f t="shared" si="107"/>
        <v>0</v>
      </c>
      <c r="AU69" s="102" t="str">
        <f t="shared" si="23"/>
        <v/>
      </c>
      <c r="AV69" s="102" t="str">
        <f t="shared" si="24"/>
        <v/>
      </c>
      <c r="AW69" s="102" t="str">
        <f t="shared" si="25"/>
        <v/>
      </c>
      <c r="AX69" s="102" t="str">
        <f t="shared" si="26"/>
        <v/>
      </c>
      <c r="AY69" s="102" t="str">
        <f t="shared" si="27"/>
        <v/>
      </c>
      <c r="AZ69" s="102"/>
      <c r="BA69" s="102">
        <f>IF(AV69&lt;&gt;0,COUNTIFS($A$7:A69,A69,$AV$7:AV69,"Quên check in"))
+IF(AW69&lt;&gt;0,COUNTIFS($A$7:A69,A69,$AW$7:AW69,"Quên check in"))
+IF(AX69&lt;&gt;0,COUNTIFS($A$7:A69,A69,$AX$7:AX69,"Quên check out"))
+IF(AY69&lt;&gt;0,COUNTIFS($A$7:A69,A69,$AY$7:AY69,"Quên check out"))</f>
        <v>0</v>
      </c>
      <c r="BB69" s="143">
        <f t="shared" si="28"/>
        <v>0</v>
      </c>
    </row>
    <row r="70" spans="1:54" s="83" customFormat="1" ht="14.1" customHeight="1" x14ac:dyDescent="0.3">
      <c r="A70" s="103" t="s">
        <v>7</v>
      </c>
      <c r="B70" s="104" t="s">
        <v>16</v>
      </c>
      <c r="C70" s="105">
        <v>5000000</v>
      </c>
      <c r="D70" s="106">
        <v>43416</v>
      </c>
      <c r="E70" s="107">
        <v>43617</v>
      </c>
      <c r="F70" s="107">
        <v>73415</v>
      </c>
      <c r="G70" s="105">
        <v>26</v>
      </c>
      <c r="H70" s="105">
        <f t="shared" si="95"/>
        <v>5</v>
      </c>
      <c r="I70" s="105"/>
      <c r="J70" s="108">
        <v>43776</v>
      </c>
      <c r="K70" s="108" t="str">
        <f t="shared" si="96"/>
        <v>NV10943776VàoSáng</v>
      </c>
      <c r="L70" s="102" t="str">
        <f>IFERROR(VLOOKUP(K70,'1. Vân tay'!$F:$G,2,0),0)</f>
        <v>07:39:39</v>
      </c>
      <c r="M70" s="108" t="str">
        <f t="shared" si="97"/>
        <v>NV10943776RaSáng</v>
      </c>
      <c r="N70" s="102">
        <f>IFERROR(VLOOKUP(M70,'1. Vân tay'!$F:$G,2,0),0)</f>
        <v>0</v>
      </c>
      <c r="O70" s="108" t="str">
        <f t="shared" si="98"/>
        <v>NV10943776VàoChiều</v>
      </c>
      <c r="P70" s="102">
        <f>IFERROR(VLOOKUP(O70,'1. Vân tay'!$F:$G,2,0),0)</f>
        <v>0</v>
      </c>
      <c r="Q70" s="108" t="str">
        <f t="shared" si="99"/>
        <v>NV10943776RaChiều</v>
      </c>
      <c r="R70" s="102" t="str">
        <f>IFERROR(VLOOKUP(Q70,'1. Vân tay'!$F:$G,2,0),0)</f>
        <v>17:30:39</v>
      </c>
      <c r="S70" s="102">
        <f t="shared" si="100"/>
        <v>0</v>
      </c>
      <c r="T70" s="109">
        <v>0.33333333333333331</v>
      </c>
      <c r="U70" s="109">
        <v>0.5</v>
      </c>
      <c r="V70" s="109">
        <v>0.5625</v>
      </c>
      <c r="W70" s="109">
        <v>0.72916666666666663</v>
      </c>
      <c r="X70" s="102">
        <f>HDSD!$F$4</f>
        <v>5</v>
      </c>
      <c r="Y70" s="102">
        <f>SUMIFS('2. Đi muộn về sớm'!$K:$K,
'2. Đi muộn về sớm'!$B:$B,$A70,
'2. Đi muộn về sớm'!$D:$D,$J70)</f>
        <v>0</v>
      </c>
      <c r="Z70" s="110">
        <f t="shared" si="101"/>
        <v>0</v>
      </c>
      <c r="AA70" s="110">
        <f t="shared" si="102"/>
        <v>0</v>
      </c>
      <c r="AB70" s="111">
        <f t="shared" si="103"/>
        <v>0</v>
      </c>
      <c r="AC70" s="112">
        <f t="shared" si="8"/>
        <v>0</v>
      </c>
      <c r="AD70" s="113">
        <f t="shared" si="9"/>
        <v>0</v>
      </c>
      <c r="AE70" s="111">
        <f t="shared" si="104"/>
        <v>0</v>
      </c>
      <c r="AF70" s="113">
        <f t="shared" si="11"/>
        <v>0</v>
      </c>
      <c r="AG70" s="113">
        <f t="shared" si="12"/>
        <v>0</v>
      </c>
      <c r="AH70" s="114">
        <f t="shared" si="42"/>
        <v>9.85</v>
      </c>
      <c r="AI70" s="102" t="str">
        <f t="shared" si="14"/>
        <v>X:8</v>
      </c>
      <c r="AJ70" s="102" t="str">
        <f t="shared" si="15"/>
        <v>NV10943776</v>
      </c>
      <c r="AK70" s="102" t="str">
        <f>IF(OR(J70&lt;D70,J70&gt;F70),"",
IFERROR(INDEX('3. Đơn xin nghỉ'!$K:$K,MATCH('4. Tổng hợp dữ liệu'!AJ70,'3. Đơn xin nghỉ'!$I:$I,0),1),
IF(AND(AU70="Không CC",I70&lt;&gt;1),"Ro:8","")))</f>
        <v/>
      </c>
      <c r="AL70" s="102" t="str">
        <f t="shared" si="16"/>
        <v/>
      </c>
      <c r="AM70" s="102" t="str">
        <f t="shared" si="105"/>
        <v>X:8</v>
      </c>
      <c r="AN70" s="102" t="s">
        <v>92</v>
      </c>
      <c r="AO70" s="102"/>
      <c r="AP70" s="115">
        <f>IFERROR(VLOOKUP(AN70,'Quy đổi công'!A:D,3,0),0)</f>
        <v>1</v>
      </c>
      <c r="AQ70" s="115">
        <f>IFERROR(VLOOKUP(AN70,'Quy đổi công'!A:D,4,0),0)</f>
        <v>0</v>
      </c>
      <c r="AR70" s="115">
        <f t="shared" si="17"/>
        <v>0</v>
      </c>
      <c r="AS70" s="115">
        <f t="shared" si="106"/>
        <v>1</v>
      </c>
      <c r="AT70" s="115">
        <f t="shared" si="107"/>
        <v>0</v>
      </c>
      <c r="AU70" s="102" t="str">
        <f t="shared" si="23"/>
        <v/>
      </c>
      <c r="AV70" s="102" t="str">
        <f t="shared" si="24"/>
        <v/>
      </c>
      <c r="AW70" s="102" t="str">
        <f t="shared" si="25"/>
        <v/>
      </c>
      <c r="AX70" s="102" t="str">
        <f t="shared" si="26"/>
        <v/>
      </c>
      <c r="AY70" s="102" t="str">
        <f t="shared" si="27"/>
        <v/>
      </c>
      <c r="AZ70" s="102"/>
      <c r="BA70" s="102">
        <f>IF(AV70&lt;&gt;0,COUNTIFS($A$7:A70,A70,$AV$7:AV70,"Quên check in"))
+IF(AW70&lt;&gt;0,COUNTIFS($A$7:A70,A70,$AW$7:AW70,"Quên check in"))
+IF(AX70&lt;&gt;0,COUNTIFS($A$7:A70,A70,$AX$7:AX70,"Quên check out"))
+IF(AY70&lt;&gt;0,COUNTIFS($A$7:A70,A70,$AY$7:AY70,"Quên check out"))</f>
        <v>0</v>
      </c>
      <c r="BB70" s="143">
        <f t="shared" si="28"/>
        <v>0</v>
      </c>
    </row>
    <row r="71" spans="1:54" s="83" customFormat="1" ht="14.1" customHeight="1" x14ac:dyDescent="0.3">
      <c r="A71" s="103" t="s">
        <v>8</v>
      </c>
      <c r="B71" s="104" t="s">
        <v>17</v>
      </c>
      <c r="C71" s="105">
        <v>5000000</v>
      </c>
      <c r="D71" s="106">
        <v>43423</v>
      </c>
      <c r="E71" s="107">
        <v>43617</v>
      </c>
      <c r="F71" s="107">
        <v>73415</v>
      </c>
      <c r="G71" s="105">
        <v>26</v>
      </c>
      <c r="H71" s="105">
        <f t="shared" si="95"/>
        <v>5</v>
      </c>
      <c r="I71" s="105"/>
      <c r="J71" s="108">
        <v>43776</v>
      </c>
      <c r="K71" s="108" t="str">
        <f t="shared" si="96"/>
        <v>NV11343776VàoSáng</v>
      </c>
      <c r="L71" s="102" t="str">
        <f>IFERROR(VLOOKUP(K71,'1. Vân tay'!$F:$G,2,0),0)</f>
        <v>07:36:18</v>
      </c>
      <c r="M71" s="108" t="str">
        <f t="shared" si="97"/>
        <v>NV11343776RaSáng</v>
      </c>
      <c r="N71" s="102">
        <f>IFERROR(VLOOKUP(M71,'1. Vân tay'!$F:$G,2,0),0)</f>
        <v>0</v>
      </c>
      <c r="O71" s="108" t="str">
        <f t="shared" si="98"/>
        <v>NV11343776VàoChiều</v>
      </c>
      <c r="P71" s="102">
        <f>IFERROR(VLOOKUP(O71,'1. Vân tay'!$F:$G,2,0),0)</f>
        <v>0</v>
      </c>
      <c r="Q71" s="108" t="str">
        <f t="shared" si="99"/>
        <v>NV11343776RaChiều</v>
      </c>
      <c r="R71" s="102" t="str">
        <f>IFERROR(VLOOKUP(Q71,'1. Vân tay'!$F:$G,2,0),0)</f>
        <v>17:32:43</v>
      </c>
      <c r="S71" s="102">
        <f t="shared" si="100"/>
        <v>0</v>
      </c>
      <c r="T71" s="109">
        <v>0.33333333333333331</v>
      </c>
      <c r="U71" s="109">
        <v>0.5</v>
      </c>
      <c r="V71" s="109">
        <v>0.5625</v>
      </c>
      <c r="W71" s="109">
        <v>0.72916666666666663</v>
      </c>
      <c r="X71" s="102">
        <f>HDSD!$F$4</f>
        <v>5</v>
      </c>
      <c r="Y71" s="102">
        <f>SUMIFS('2. Đi muộn về sớm'!$K:$K,
'2. Đi muộn về sớm'!$B:$B,$A71,
'2. Đi muộn về sớm'!$D:$D,$J71)</f>
        <v>0</v>
      </c>
      <c r="Z71" s="110">
        <f t="shared" si="101"/>
        <v>0</v>
      </c>
      <c r="AA71" s="110">
        <f t="shared" si="102"/>
        <v>0</v>
      </c>
      <c r="AB71" s="111">
        <f t="shared" si="103"/>
        <v>0</v>
      </c>
      <c r="AC71" s="112">
        <f t="shared" ref="AC71:AC134" si="108">IF(AB71-Y71-X71&lt;=0,0,AB71-Y71-X71)</f>
        <v>0</v>
      </c>
      <c r="AD71" s="113">
        <f t="shared" ref="AD71:AD134" si="109">AC71*2000</f>
        <v>0</v>
      </c>
      <c r="AE71" s="111">
        <f t="shared" si="104"/>
        <v>0</v>
      </c>
      <c r="AF71" s="113">
        <f t="shared" ref="AF71:AF134" si="110">IF(AE71="","",AE71*C71/G71)</f>
        <v>0</v>
      </c>
      <c r="AG71" s="113">
        <f t="shared" ref="AG71:AG134" si="111">AF71+AD71</f>
        <v>0</v>
      </c>
      <c r="AH71" s="114">
        <f t="shared" si="42"/>
        <v>9.9402777777777782</v>
      </c>
      <c r="AI71" s="102" t="str">
        <f t="shared" ref="AI71:AI134" si="112">IF(OR(J71&lt;D71,J71&gt;F71),"",
IF(AND(AH71&gt;0,AH71&lt;=6),"X:4",
IF(AND(AH71&gt;6),"X:8","")))</f>
        <v>X:8</v>
      </c>
      <c r="AJ71" s="102" t="str">
        <f t="shared" ref="AJ71:AJ134" si="113">A71&amp;J71</f>
        <v>NV11343776</v>
      </c>
      <c r="AK71" s="102" t="str">
        <f>IF(OR(J71&lt;D71,J71&gt;F71),"",
IFERROR(INDEX('3. Đơn xin nghỉ'!$K:$K,MATCH('4. Tổng hợp dữ liệu'!AJ71,'3. Đơn xin nghỉ'!$I:$I,0),1),
IF(AND(AU71="Không CC",I71&lt;&gt;1),"Ro:8","")))</f>
        <v/>
      </c>
      <c r="AL71" s="102" t="str">
        <f t="shared" ref="AL71:AL134" si="114">IF(OR(J71&lt;D71,J71&gt;F71),"",
IF(I71=1,"OFF",""))</f>
        <v/>
      </c>
      <c r="AM71" s="102" t="str">
        <f t="shared" si="105"/>
        <v>X:8</v>
      </c>
      <c r="AN71" s="102" t="s">
        <v>92</v>
      </c>
      <c r="AO71" s="102"/>
      <c r="AP71" s="115">
        <f>IFERROR(VLOOKUP(AN71,'Quy đổi công'!A:D,3,0),0)</f>
        <v>1</v>
      </c>
      <c r="AQ71" s="115">
        <f>IFERROR(VLOOKUP(AN71,'Quy đổi công'!A:D,4,0),0)</f>
        <v>0</v>
      </c>
      <c r="AR71" s="115">
        <f t="shared" ref="AR71:AR134" si="115">IF(J71&lt;E71,AP71,0)</f>
        <v>0</v>
      </c>
      <c r="AS71" s="115">
        <f t="shared" si="106"/>
        <v>1</v>
      </c>
      <c r="AT71" s="115">
        <f t="shared" si="107"/>
        <v>0</v>
      </c>
      <c r="AU71" s="102" t="str">
        <f t="shared" si="23"/>
        <v/>
      </c>
      <c r="AV71" s="102" t="str">
        <f t="shared" si="24"/>
        <v/>
      </c>
      <c r="AW71" s="102" t="str">
        <f t="shared" si="25"/>
        <v/>
      </c>
      <c r="AX71" s="102" t="str">
        <f t="shared" si="26"/>
        <v/>
      </c>
      <c r="AY71" s="102" t="str">
        <f t="shared" si="27"/>
        <v/>
      </c>
      <c r="AZ71" s="102"/>
      <c r="BA71" s="102">
        <f>IF(AV71&lt;&gt;0,COUNTIFS($A$7:A71,A71,$AV$7:AV71,"Quên check in"))
+IF(AW71&lt;&gt;0,COUNTIFS($A$7:A71,A71,$AW$7:AW71,"Quên check in"))
+IF(AX71&lt;&gt;0,COUNTIFS($A$7:A71,A71,$AX$7:AX71,"Quên check out"))
+IF(AY71&lt;&gt;0,COUNTIFS($A$7:A71,A71,$AY$7:AY71,"Quên check out"))</f>
        <v>0</v>
      </c>
      <c r="BB71" s="143">
        <f t="shared" si="28"/>
        <v>0</v>
      </c>
    </row>
    <row r="72" spans="1:54" s="83" customFormat="1" ht="14.1" customHeight="1" x14ac:dyDescent="0.3">
      <c r="A72" s="103" t="s">
        <v>9</v>
      </c>
      <c r="B72" s="104" t="s">
        <v>18</v>
      </c>
      <c r="C72" s="105">
        <v>4900000</v>
      </c>
      <c r="D72" s="106">
        <v>43437</v>
      </c>
      <c r="E72" s="107">
        <v>43617</v>
      </c>
      <c r="F72" s="107">
        <v>73415</v>
      </c>
      <c r="G72" s="105">
        <v>26</v>
      </c>
      <c r="H72" s="105">
        <f t="shared" si="95"/>
        <v>5</v>
      </c>
      <c r="I72" s="105"/>
      <c r="J72" s="108">
        <v>43776</v>
      </c>
      <c r="K72" s="108" t="str">
        <f t="shared" si="96"/>
        <v>NV11443776VàoSáng</v>
      </c>
      <c r="L72" s="102" t="str">
        <f>IFERROR(VLOOKUP(K72,'1. Vân tay'!$F:$G,2,0),0)</f>
        <v>07:59:28</v>
      </c>
      <c r="M72" s="108" t="str">
        <f t="shared" si="97"/>
        <v>NV11443776RaSáng</v>
      </c>
      <c r="N72" s="102">
        <f>IFERROR(VLOOKUP(M72,'1. Vân tay'!$F:$G,2,0),0)</f>
        <v>0</v>
      </c>
      <c r="O72" s="108" t="str">
        <f t="shared" si="98"/>
        <v>NV11443776VàoChiều</v>
      </c>
      <c r="P72" s="102">
        <f>IFERROR(VLOOKUP(O72,'1. Vân tay'!$F:$G,2,0),0)</f>
        <v>0</v>
      </c>
      <c r="Q72" s="108" t="str">
        <f t="shared" si="99"/>
        <v>NV11443776RaChiều</v>
      </c>
      <c r="R72" s="102" t="str">
        <f>IFERROR(VLOOKUP(Q72,'1. Vân tay'!$F:$G,2,0),0)</f>
        <v>17:31:09</v>
      </c>
      <c r="S72" s="102">
        <f t="shared" si="100"/>
        <v>0</v>
      </c>
      <c r="T72" s="109">
        <v>0.33333333333333331</v>
      </c>
      <c r="U72" s="109">
        <v>0.5</v>
      </c>
      <c r="V72" s="109">
        <v>0.5625</v>
      </c>
      <c r="W72" s="109">
        <v>0.72916666666666663</v>
      </c>
      <c r="X72" s="102">
        <f>HDSD!$F$4</f>
        <v>5</v>
      </c>
      <c r="Y72" s="102">
        <f>SUMIFS('2. Đi muộn về sớm'!$K:$K,
'2. Đi muộn về sớm'!$B:$B,$A72,
'2. Đi muộn về sớm'!$D:$D,$J72)</f>
        <v>0</v>
      </c>
      <c r="Z72" s="110">
        <f t="shared" si="101"/>
        <v>0</v>
      </c>
      <c r="AA72" s="110">
        <f t="shared" si="102"/>
        <v>0</v>
      </c>
      <c r="AB72" s="111">
        <f t="shared" si="103"/>
        <v>0</v>
      </c>
      <c r="AC72" s="112">
        <f t="shared" si="108"/>
        <v>0</v>
      </c>
      <c r="AD72" s="113">
        <f t="shared" si="109"/>
        <v>0</v>
      </c>
      <c r="AE72" s="111">
        <f t="shared" si="104"/>
        <v>0</v>
      </c>
      <c r="AF72" s="113">
        <f t="shared" si="110"/>
        <v>0</v>
      </c>
      <c r="AG72" s="113">
        <f t="shared" si="111"/>
        <v>0</v>
      </c>
      <c r="AH72" s="114">
        <f t="shared" si="42"/>
        <v>9.5280555555555555</v>
      </c>
      <c r="AI72" s="102" t="str">
        <f t="shared" si="112"/>
        <v>X:8</v>
      </c>
      <c r="AJ72" s="102" t="str">
        <f t="shared" si="113"/>
        <v>NV11443776</v>
      </c>
      <c r="AK72" s="102" t="str">
        <f>IF(OR(J72&lt;D72,J72&gt;F72),"",
IFERROR(INDEX('3. Đơn xin nghỉ'!$K:$K,MATCH('4. Tổng hợp dữ liệu'!AJ72,'3. Đơn xin nghỉ'!$I:$I,0),1),
IF(AND(AU72="Không CC",I72&lt;&gt;1),"Ro:8","")))</f>
        <v/>
      </c>
      <c r="AL72" s="102" t="str">
        <f t="shared" si="114"/>
        <v/>
      </c>
      <c r="AM72" s="102" t="str">
        <f t="shared" si="105"/>
        <v>X:8</v>
      </c>
      <c r="AN72" s="102" t="s">
        <v>92</v>
      </c>
      <c r="AO72" s="102"/>
      <c r="AP72" s="115">
        <f>IFERROR(VLOOKUP(AN72,'Quy đổi công'!A:D,3,0),0)</f>
        <v>1</v>
      </c>
      <c r="AQ72" s="115">
        <f>IFERROR(VLOOKUP(AN72,'Quy đổi công'!A:D,4,0),0)</f>
        <v>0</v>
      </c>
      <c r="AR72" s="115">
        <f t="shared" si="115"/>
        <v>0</v>
      </c>
      <c r="AS72" s="115">
        <f t="shared" si="106"/>
        <v>1</v>
      </c>
      <c r="AT72" s="115">
        <f t="shared" si="107"/>
        <v>0</v>
      </c>
      <c r="AU72" s="102" t="str">
        <f t="shared" ref="AU72:AU135" si="116">IF(AND(L72=0,N72=0,P72=0,R72=0),"Không CC","")</f>
        <v/>
      </c>
      <c r="AV72" s="102" t="str">
        <f t="shared" ref="AV72:AV135" si="117">IF(AND(L72=0,N72&lt;&gt;0,P72=0,R72=0),"Quên check in","")</f>
        <v/>
      </c>
      <c r="AW72" s="102" t="str">
        <f t="shared" ref="AW72:AW135" si="118">IF(AND(L72=0,N72=0,P72=0,R72&lt;&gt;0),"Quên check in","")</f>
        <v/>
      </c>
      <c r="AX72" s="102" t="str">
        <f t="shared" ref="AX72:AX135" si="119">IF(AND(L72&lt;&gt;0,N72=0,P72=0,R72=0),"Quên check out","")</f>
        <v/>
      </c>
      <c r="AY72" s="102" t="str">
        <f t="shared" ref="AY72:AY135" si="120">IF(AND(L72=0,N72=0,P72&lt;&gt;0,R72=0),"Quên check out","")</f>
        <v/>
      </c>
      <c r="AZ72" s="102"/>
      <c r="BA72" s="102">
        <f>IF(AV72&lt;&gt;0,COUNTIFS($A$7:A72,A72,$AV$7:AV72,"Quên check in"))
+IF(AW72&lt;&gt;0,COUNTIFS($A$7:A72,A72,$AW$7:AW72,"Quên check in"))
+IF(AX72&lt;&gt;0,COUNTIFS($A$7:A72,A72,$AX$7:AX72,"Quên check out"))
+IF(AY72&lt;&gt;0,COUNTIFS($A$7:A72,A72,$AY$7:AY72,"Quên check out"))</f>
        <v>0</v>
      </c>
      <c r="BB72" s="143">
        <f t="shared" ref="BB72:BB135" si="121">IF(BA72&gt;=3,50000,0)</f>
        <v>0</v>
      </c>
    </row>
    <row r="73" spans="1:54" s="83" customFormat="1" ht="14.1" customHeight="1" x14ac:dyDescent="0.3">
      <c r="A73" s="103" t="s">
        <v>10</v>
      </c>
      <c r="B73" s="104" t="s">
        <v>19</v>
      </c>
      <c r="C73" s="105">
        <v>5000000</v>
      </c>
      <c r="D73" s="106">
        <v>43445</v>
      </c>
      <c r="E73" s="107">
        <v>43647</v>
      </c>
      <c r="F73" s="107">
        <v>73415</v>
      </c>
      <c r="G73" s="105">
        <v>26</v>
      </c>
      <c r="H73" s="105">
        <f t="shared" si="95"/>
        <v>5</v>
      </c>
      <c r="I73" s="105"/>
      <c r="J73" s="108">
        <v>43776</v>
      </c>
      <c r="K73" s="108" t="str">
        <f t="shared" si="96"/>
        <v>NV11843776VàoSáng</v>
      </c>
      <c r="L73" s="102" t="str">
        <f>IFERROR(VLOOKUP(K73,'1. Vân tay'!$F:$G,2,0),0)</f>
        <v>08:00:07</v>
      </c>
      <c r="M73" s="108" t="str">
        <f t="shared" si="97"/>
        <v>NV11843776RaSáng</v>
      </c>
      <c r="N73" s="102">
        <f>IFERROR(VLOOKUP(M73,'1. Vân tay'!$F:$G,2,0),0)</f>
        <v>0</v>
      </c>
      <c r="O73" s="108" t="str">
        <f t="shared" si="98"/>
        <v>NV11843776VàoChiều</v>
      </c>
      <c r="P73" s="102">
        <f>IFERROR(VLOOKUP(O73,'1. Vân tay'!$F:$G,2,0),0)</f>
        <v>0</v>
      </c>
      <c r="Q73" s="108" t="str">
        <f t="shared" si="99"/>
        <v>NV11843776RaChiều</v>
      </c>
      <c r="R73" s="102" t="str">
        <f>IFERROR(VLOOKUP(Q73,'1. Vân tay'!$F:$G,2,0),0)</f>
        <v>17:30:22</v>
      </c>
      <c r="S73" s="102">
        <f t="shared" si="100"/>
        <v>0</v>
      </c>
      <c r="T73" s="109">
        <v>0.33333333333333331</v>
      </c>
      <c r="U73" s="109">
        <v>0.5</v>
      </c>
      <c r="V73" s="109">
        <v>0.5625</v>
      </c>
      <c r="W73" s="109">
        <v>0.72916666666666663</v>
      </c>
      <c r="X73" s="102">
        <f>HDSD!$F$4</f>
        <v>5</v>
      </c>
      <c r="Y73" s="102">
        <f>SUMIFS('2. Đi muộn về sớm'!$K:$K,
'2. Đi muộn về sớm'!$B:$B,$A73,
'2. Đi muộn về sớm'!$D:$D,$J73)</f>
        <v>0</v>
      </c>
      <c r="Z73" s="110">
        <f t="shared" si="101"/>
        <v>0.11666666666666667</v>
      </c>
      <c r="AA73" s="110">
        <f t="shared" si="102"/>
        <v>0</v>
      </c>
      <c r="AB73" s="111">
        <f t="shared" si="103"/>
        <v>0.11666666666666667</v>
      </c>
      <c r="AC73" s="112">
        <f t="shared" si="108"/>
        <v>0</v>
      </c>
      <c r="AD73" s="113">
        <f t="shared" si="109"/>
        <v>0</v>
      </c>
      <c r="AE73" s="111">
        <f t="shared" si="104"/>
        <v>0</v>
      </c>
      <c r="AF73" s="113">
        <f t="shared" si="110"/>
        <v>0</v>
      </c>
      <c r="AG73" s="113">
        <f t="shared" si="111"/>
        <v>0</v>
      </c>
      <c r="AH73" s="114">
        <f t="shared" si="42"/>
        <v>9.5041666666666664</v>
      </c>
      <c r="AI73" s="102" t="str">
        <f t="shared" si="112"/>
        <v>X:8</v>
      </c>
      <c r="AJ73" s="102" t="str">
        <f t="shared" si="113"/>
        <v>NV11843776</v>
      </c>
      <c r="AK73" s="102" t="str">
        <f>IF(OR(J73&lt;D73,J73&gt;F73),"",
IFERROR(INDEX('3. Đơn xin nghỉ'!$K:$K,MATCH('4. Tổng hợp dữ liệu'!AJ73,'3. Đơn xin nghỉ'!$I:$I,0),1),
IF(AND(AU73="Không CC",I73&lt;&gt;1),"Ro:8","")))</f>
        <v/>
      </c>
      <c r="AL73" s="102" t="str">
        <f t="shared" si="114"/>
        <v/>
      </c>
      <c r="AM73" s="102" t="str">
        <f t="shared" si="105"/>
        <v>X:8</v>
      </c>
      <c r="AN73" s="102" t="s">
        <v>92</v>
      </c>
      <c r="AO73" s="102"/>
      <c r="AP73" s="115">
        <f>IFERROR(VLOOKUP(AN73,'Quy đổi công'!A:D,3,0),0)</f>
        <v>1</v>
      </c>
      <c r="AQ73" s="115">
        <f>IFERROR(VLOOKUP(AN73,'Quy đổi công'!A:D,4,0),0)</f>
        <v>0</v>
      </c>
      <c r="AR73" s="115">
        <f t="shared" si="115"/>
        <v>0</v>
      </c>
      <c r="AS73" s="115">
        <f t="shared" si="106"/>
        <v>1</v>
      </c>
      <c r="AT73" s="115">
        <f t="shared" si="107"/>
        <v>0</v>
      </c>
      <c r="AU73" s="102" t="str">
        <f t="shared" si="116"/>
        <v/>
      </c>
      <c r="AV73" s="102" t="str">
        <f t="shared" si="117"/>
        <v/>
      </c>
      <c r="AW73" s="102" t="str">
        <f t="shared" si="118"/>
        <v/>
      </c>
      <c r="AX73" s="102" t="str">
        <f t="shared" si="119"/>
        <v/>
      </c>
      <c r="AY73" s="102" t="str">
        <f t="shared" si="120"/>
        <v/>
      </c>
      <c r="AZ73" s="102"/>
      <c r="BA73" s="102">
        <f>IF(AV73&lt;&gt;0,COUNTIFS($A$7:A73,A73,$AV$7:AV73,"Quên check in"))
+IF(AW73&lt;&gt;0,COUNTIFS($A$7:A73,A73,$AW$7:AW73,"Quên check in"))
+IF(AX73&lt;&gt;0,COUNTIFS($A$7:A73,A73,$AX$7:AX73,"Quên check out"))
+IF(AY73&lt;&gt;0,COUNTIFS($A$7:A73,A73,$AY$7:AY73,"Quên check out"))</f>
        <v>0</v>
      </c>
      <c r="BB73" s="143">
        <f t="shared" si="121"/>
        <v>0</v>
      </c>
    </row>
    <row r="74" spans="1:54" s="83" customFormat="1" ht="14.1" customHeight="1" x14ac:dyDescent="0.3">
      <c r="A74" s="103" t="s">
        <v>11</v>
      </c>
      <c r="B74" s="104" t="s">
        <v>20</v>
      </c>
      <c r="C74" s="105">
        <v>4700000</v>
      </c>
      <c r="D74" s="106">
        <v>43467</v>
      </c>
      <c r="E74" s="107">
        <v>43617</v>
      </c>
      <c r="F74" s="107">
        <v>73415</v>
      </c>
      <c r="G74" s="105">
        <v>26</v>
      </c>
      <c r="H74" s="105">
        <f t="shared" si="95"/>
        <v>5</v>
      </c>
      <c r="I74" s="105"/>
      <c r="J74" s="108">
        <v>43776</v>
      </c>
      <c r="K74" s="108" t="str">
        <f t="shared" si="96"/>
        <v>NV12243776VàoSáng</v>
      </c>
      <c r="L74" s="102" t="str">
        <f>IFERROR(VLOOKUP(K74,'1. Vân tay'!$F:$G,2,0),0)</f>
        <v>08:03:30</v>
      </c>
      <c r="M74" s="108" t="str">
        <f t="shared" si="97"/>
        <v>NV12243776RaSáng</v>
      </c>
      <c r="N74" s="102">
        <f>IFERROR(VLOOKUP(M74,'1. Vân tay'!$F:$G,2,0),0)</f>
        <v>0</v>
      </c>
      <c r="O74" s="108" t="str">
        <f t="shared" si="98"/>
        <v>NV12243776VàoChiều</v>
      </c>
      <c r="P74" s="102">
        <f>IFERROR(VLOOKUP(O74,'1. Vân tay'!$F:$G,2,0),0)</f>
        <v>0</v>
      </c>
      <c r="Q74" s="108" t="str">
        <f t="shared" si="99"/>
        <v>NV12243776RaChiều</v>
      </c>
      <c r="R74" s="102" t="str">
        <f>IFERROR(VLOOKUP(Q74,'1. Vân tay'!$F:$G,2,0),0)</f>
        <v>17:32:12</v>
      </c>
      <c r="S74" s="102">
        <f t="shared" si="100"/>
        <v>0</v>
      </c>
      <c r="T74" s="109">
        <v>0.33333333333333331</v>
      </c>
      <c r="U74" s="109">
        <v>0.5</v>
      </c>
      <c r="V74" s="109">
        <v>0.5625</v>
      </c>
      <c r="W74" s="109">
        <v>0.72916666666666663</v>
      </c>
      <c r="X74" s="102">
        <f>HDSD!$F$4</f>
        <v>5</v>
      </c>
      <c r="Y74" s="102">
        <f>SUMIFS('2. Đi muộn về sớm'!$K:$K,
'2. Đi muộn về sớm'!$B:$B,$A74,
'2. Đi muộn về sớm'!$D:$D,$J74)</f>
        <v>0</v>
      </c>
      <c r="Z74" s="110">
        <f t="shared" si="101"/>
        <v>3.5</v>
      </c>
      <c r="AA74" s="110">
        <f t="shared" si="102"/>
        <v>0</v>
      </c>
      <c r="AB74" s="111">
        <f t="shared" si="103"/>
        <v>3.5</v>
      </c>
      <c r="AC74" s="112">
        <f t="shared" si="108"/>
        <v>0</v>
      </c>
      <c r="AD74" s="113">
        <f t="shared" si="109"/>
        <v>0</v>
      </c>
      <c r="AE74" s="111">
        <f t="shared" si="104"/>
        <v>0</v>
      </c>
      <c r="AF74" s="113">
        <f t="shared" si="110"/>
        <v>0</v>
      </c>
      <c r="AG74" s="113">
        <f t="shared" si="111"/>
        <v>0</v>
      </c>
      <c r="AH74" s="114">
        <f t="shared" si="42"/>
        <v>9.4783333333333335</v>
      </c>
      <c r="AI74" s="102" t="str">
        <f t="shared" si="112"/>
        <v>X:8</v>
      </c>
      <c r="AJ74" s="102" t="str">
        <f t="shared" si="113"/>
        <v>NV12243776</v>
      </c>
      <c r="AK74" s="102" t="str">
        <f>IF(OR(J74&lt;D74,J74&gt;F74),"",
IFERROR(INDEX('3. Đơn xin nghỉ'!$K:$K,MATCH('4. Tổng hợp dữ liệu'!AJ74,'3. Đơn xin nghỉ'!$I:$I,0),1),
IF(AND(AU74="Không CC",I74&lt;&gt;1),"Ro:8","")))</f>
        <v/>
      </c>
      <c r="AL74" s="102" t="str">
        <f t="shared" si="114"/>
        <v/>
      </c>
      <c r="AM74" s="102" t="str">
        <f t="shared" si="105"/>
        <v>X:8</v>
      </c>
      <c r="AN74" s="102" t="s">
        <v>92</v>
      </c>
      <c r="AO74" s="102"/>
      <c r="AP74" s="115">
        <f>IFERROR(VLOOKUP(AN74,'Quy đổi công'!A:D,3,0),0)</f>
        <v>1</v>
      </c>
      <c r="AQ74" s="115">
        <f>IFERROR(VLOOKUP(AN74,'Quy đổi công'!A:D,4,0),0)</f>
        <v>0</v>
      </c>
      <c r="AR74" s="115">
        <f t="shared" si="115"/>
        <v>0</v>
      </c>
      <c r="AS74" s="115">
        <f t="shared" si="106"/>
        <v>1</v>
      </c>
      <c r="AT74" s="115">
        <f t="shared" si="107"/>
        <v>0</v>
      </c>
      <c r="AU74" s="102" t="str">
        <f t="shared" si="116"/>
        <v/>
      </c>
      <c r="AV74" s="102" t="str">
        <f t="shared" si="117"/>
        <v/>
      </c>
      <c r="AW74" s="102" t="str">
        <f t="shared" si="118"/>
        <v/>
      </c>
      <c r="AX74" s="102" t="str">
        <f t="shared" si="119"/>
        <v/>
      </c>
      <c r="AY74" s="102" t="str">
        <f t="shared" si="120"/>
        <v/>
      </c>
      <c r="AZ74" s="102"/>
      <c r="BA74" s="102">
        <f>IF(AV74&lt;&gt;0,COUNTIFS($A$7:A74,A74,$AV$7:AV74,"Quên check in"))
+IF(AW74&lt;&gt;0,COUNTIFS($A$7:A74,A74,$AW$7:AW74,"Quên check in"))
+IF(AX74&lt;&gt;0,COUNTIFS($A$7:A74,A74,$AX$7:AX74,"Quên check out"))
+IF(AY74&lt;&gt;0,COUNTIFS($A$7:A74,A74,$AY$7:AY74,"Quên check out"))</f>
        <v>1</v>
      </c>
      <c r="BB74" s="143">
        <f t="shared" si="121"/>
        <v>0</v>
      </c>
    </row>
    <row r="75" spans="1:54" s="83" customFormat="1" ht="14.1" customHeight="1" x14ac:dyDescent="0.3">
      <c r="A75" s="103" t="s">
        <v>12</v>
      </c>
      <c r="B75" s="104" t="s">
        <v>21</v>
      </c>
      <c r="C75" s="105">
        <v>5000000</v>
      </c>
      <c r="D75" s="106">
        <v>43482</v>
      </c>
      <c r="E75" s="107">
        <v>43647</v>
      </c>
      <c r="F75" s="107">
        <v>73415</v>
      </c>
      <c r="G75" s="105">
        <v>26</v>
      </c>
      <c r="H75" s="105">
        <f t="shared" si="95"/>
        <v>5</v>
      </c>
      <c r="I75" s="105"/>
      <c r="J75" s="108">
        <v>43776</v>
      </c>
      <c r="K75" s="108" t="str">
        <f t="shared" si="96"/>
        <v>NV12343776VàoSáng</v>
      </c>
      <c r="L75" s="102" t="str">
        <f>IFERROR(VLOOKUP(K75,'1. Vân tay'!$F:$G,2,0),0)</f>
        <v>07:51:08</v>
      </c>
      <c r="M75" s="108" t="str">
        <f t="shared" si="97"/>
        <v>NV12343776RaSáng</v>
      </c>
      <c r="N75" s="102">
        <f>IFERROR(VLOOKUP(M75,'1. Vân tay'!$F:$G,2,0),0)</f>
        <v>0</v>
      </c>
      <c r="O75" s="108" t="str">
        <f t="shared" si="98"/>
        <v>NV12343776VàoChiều</v>
      </c>
      <c r="P75" s="102">
        <f>IFERROR(VLOOKUP(O75,'1. Vân tay'!$F:$G,2,0),0)</f>
        <v>0</v>
      </c>
      <c r="Q75" s="108" t="str">
        <f t="shared" si="99"/>
        <v>NV12343776RaChiều</v>
      </c>
      <c r="R75" s="102" t="str">
        <f>IFERROR(VLOOKUP(Q75,'1. Vân tay'!$F:$G,2,0),0)</f>
        <v>17:46:30</v>
      </c>
      <c r="S75" s="102">
        <f t="shared" si="100"/>
        <v>0</v>
      </c>
      <c r="T75" s="109">
        <v>0.33333333333333331</v>
      </c>
      <c r="U75" s="109">
        <v>0.5</v>
      </c>
      <c r="V75" s="109">
        <v>0.5625</v>
      </c>
      <c r="W75" s="109">
        <v>0.72916666666666663</v>
      </c>
      <c r="X75" s="102">
        <f>HDSD!$F$4</f>
        <v>5</v>
      </c>
      <c r="Y75" s="102">
        <f>SUMIFS('2. Đi muộn về sớm'!$K:$K,
'2. Đi muộn về sớm'!$B:$B,$A75,
'2. Đi muộn về sớm'!$D:$D,$J75)</f>
        <v>0</v>
      </c>
      <c r="Z75" s="110">
        <f t="shared" si="101"/>
        <v>0</v>
      </c>
      <c r="AA75" s="110">
        <f t="shared" si="102"/>
        <v>0</v>
      </c>
      <c r="AB75" s="111">
        <f t="shared" si="103"/>
        <v>0</v>
      </c>
      <c r="AC75" s="112">
        <f t="shared" si="108"/>
        <v>0</v>
      </c>
      <c r="AD75" s="113">
        <f t="shared" si="109"/>
        <v>0</v>
      </c>
      <c r="AE75" s="111">
        <f t="shared" si="104"/>
        <v>0</v>
      </c>
      <c r="AF75" s="113">
        <f t="shared" si="110"/>
        <v>0</v>
      </c>
      <c r="AG75" s="113">
        <f t="shared" si="111"/>
        <v>0</v>
      </c>
      <c r="AH75" s="114">
        <f t="shared" si="42"/>
        <v>9.9227777777777764</v>
      </c>
      <c r="AI75" s="102" t="str">
        <f t="shared" si="112"/>
        <v>X:8</v>
      </c>
      <c r="AJ75" s="102" t="str">
        <f t="shared" si="113"/>
        <v>NV12343776</v>
      </c>
      <c r="AK75" s="102" t="str">
        <f>IF(OR(J75&lt;D75,J75&gt;F75),"",
IFERROR(INDEX('3. Đơn xin nghỉ'!$K:$K,MATCH('4. Tổng hợp dữ liệu'!AJ75,'3. Đơn xin nghỉ'!$I:$I,0),1),
IF(AND(AU75="Không CC",I75&lt;&gt;1),"Ro:8","")))</f>
        <v/>
      </c>
      <c r="AL75" s="102" t="str">
        <f t="shared" si="114"/>
        <v/>
      </c>
      <c r="AM75" s="102" t="str">
        <f t="shared" si="105"/>
        <v>X:8</v>
      </c>
      <c r="AN75" s="102" t="s">
        <v>92</v>
      </c>
      <c r="AO75" s="102"/>
      <c r="AP75" s="115">
        <f>IFERROR(VLOOKUP(AN75,'Quy đổi công'!A:D,3,0),0)</f>
        <v>1</v>
      </c>
      <c r="AQ75" s="115">
        <f>IFERROR(VLOOKUP(AN75,'Quy đổi công'!A:D,4,0),0)</f>
        <v>0</v>
      </c>
      <c r="AR75" s="115">
        <f t="shared" si="115"/>
        <v>0</v>
      </c>
      <c r="AS75" s="115">
        <f t="shared" si="106"/>
        <v>1</v>
      </c>
      <c r="AT75" s="115">
        <f t="shared" si="107"/>
        <v>0</v>
      </c>
      <c r="AU75" s="102" t="str">
        <f t="shared" si="116"/>
        <v/>
      </c>
      <c r="AV75" s="102" t="str">
        <f t="shared" si="117"/>
        <v/>
      </c>
      <c r="AW75" s="102" t="str">
        <f t="shared" si="118"/>
        <v/>
      </c>
      <c r="AX75" s="102" t="str">
        <f t="shared" si="119"/>
        <v/>
      </c>
      <c r="AY75" s="102" t="str">
        <f t="shared" si="120"/>
        <v/>
      </c>
      <c r="AZ75" s="102"/>
      <c r="BA75" s="102">
        <f>IF(AV75&lt;&gt;0,COUNTIFS($A$7:A75,A75,$AV$7:AV75,"Quên check in"))
+IF(AW75&lt;&gt;0,COUNTIFS($A$7:A75,A75,$AW$7:AW75,"Quên check in"))
+IF(AX75&lt;&gt;0,COUNTIFS($A$7:A75,A75,$AX$7:AX75,"Quên check out"))
+IF(AY75&lt;&gt;0,COUNTIFS($A$7:A75,A75,$AY$7:AY75,"Quên check out"))</f>
        <v>0</v>
      </c>
      <c r="BB75" s="143">
        <f t="shared" si="121"/>
        <v>0</v>
      </c>
    </row>
    <row r="76" spans="1:54" s="83" customFormat="1" ht="14.1" customHeight="1" x14ac:dyDescent="0.3">
      <c r="A76" s="103" t="s">
        <v>13</v>
      </c>
      <c r="B76" s="104" t="s">
        <v>22</v>
      </c>
      <c r="C76" s="105">
        <v>4700000</v>
      </c>
      <c r="D76" s="106">
        <v>43531</v>
      </c>
      <c r="E76" s="107">
        <v>43647</v>
      </c>
      <c r="F76" s="107">
        <v>73415</v>
      </c>
      <c r="G76" s="105">
        <v>26</v>
      </c>
      <c r="H76" s="105">
        <f t="shared" si="95"/>
        <v>5</v>
      </c>
      <c r="I76" s="105"/>
      <c r="J76" s="108">
        <v>43776</v>
      </c>
      <c r="K76" s="108" t="str">
        <f t="shared" si="96"/>
        <v>NV12643776VàoSáng</v>
      </c>
      <c r="L76" s="102" t="str">
        <f>IFERROR(VLOOKUP(K76,'1. Vân tay'!$F:$G,2,0),0)</f>
        <v>07:57:57</v>
      </c>
      <c r="M76" s="108" t="str">
        <f t="shared" si="97"/>
        <v>NV12643776RaSáng</v>
      </c>
      <c r="N76" s="102">
        <f>IFERROR(VLOOKUP(M76,'1. Vân tay'!$F:$G,2,0),0)</f>
        <v>0</v>
      </c>
      <c r="O76" s="108" t="str">
        <f t="shared" si="98"/>
        <v>NV12643776VàoChiều</v>
      </c>
      <c r="P76" s="102">
        <f>IFERROR(VLOOKUP(O76,'1. Vân tay'!$F:$G,2,0),0)</f>
        <v>0</v>
      </c>
      <c r="Q76" s="108" t="str">
        <f t="shared" si="99"/>
        <v>NV12643776RaChiều</v>
      </c>
      <c r="R76" s="102" t="str">
        <f>IFERROR(VLOOKUP(Q76,'1. Vân tay'!$F:$G,2,0),0)</f>
        <v>17:32:28</v>
      </c>
      <c r="S76" s="102">
        <f t="shared" si="100"/>
        <v>0</v>
      </c>
      <c r="T76" s="109">
        <v>0.33333333333333331</v>
      </c>
      <c r="U76" s="109">
        <v>0.5</v>
      </c>
      <c r="V76" s="109">
        <v>0.5625</v>
      </c>
      <c r="W76" s="109">
        <v>0.72916666666666663</v>
      </c>
      <c r="X76" s="102">
        <f>HDSD!$F$4</f>
        <v>5</v>
      </c>
      <c r="Y76" s="102">
        <f>SUMIFS('2. Đi muộn về sớm'!$K:$K,
'2. Đi muộn về sớm'!$B:$B,$A76,
'2. Đi muộn về sớm'!$D:$D,$J76)</f>
        <v>0</v>
      </c>
      <c r="Z76" s="110">
        <f t="shared" si="101"/>
        <v>0</v>
      </c>
      <c r="AA76" s="110">
        <f t="shared" si="102"/>
        <v>0</v>
      </c>
      <c r="AB76" s="111">
        <f t="shared" si="103"/>
        <v>0</v>
      </c>
      <c r="AC76" s="112">
        <f t="shared" si="108"/>
        <v>0</v>
      </c>
      <c r="AD76" s="113">
        <f t="shared" si="109"/>
        <v>0</v>
      </c>
      <c r="AE76" s="111">
        <f t="shared" si="104"/>
        <v>0</v>
      </c>
      <c r="AF76" s="113">
        <f t="shared" si="110"/>
        <v>0</v>
      </c>
      <c r="AG76" s="113">
        <f t="shared" si="111"/>
        <v>0</v>
      </c>
      <c r="AH76" s="114">
        <f t="shared" si="42"/>
        <v>9.575277777777778</v>
      </c>
      <c r="AI76" s="102" t="str">
        <f t="shared" si="112"/>
        <v>X:8</v>
      </c>
      <c r="AJ76" s="102" t="str">
        <f t="shared" si="113"/>
        <v>NV12643776</v>
      </c>
      <c r="AK76" s="102" t="str">
        <f>IF(OR(J76&lt;D76,J76&gt;F76),"",
IFERROR(INDEX('3. Đơn xin nghỉ'!$K:$K,MATCH('4. Tổng hợp dữ liệu'!AJ76,'3. Đơn xin nghỉ'!$I:$I,0),1),
IF(AND(AU76="Không CC",I76&lt;&gt;1),"Ro:8","")))</f>
        <v/>
      </c>
      <c r="AL76" s="102" t="str">
        <f t="shared" si="114"/>
        <v/>
      </c>
      <c r="AM76" s="102" t="str">
        <f t="shared" si="105"/>
        <v>X:8</v>
      </c>
      <c r="AN76" s="102" t="s">
        <v>92</v>
      </c>
      <c r="AO76" s="102"/>
      <c r="AP76" s="115">
        <f>IFERROR(VLOOKUP(AN76,'Quy đổi công'!A:D,3,0),0)</f>
        <v>1</v>
      </c>
      <c r="AQ76" s="115">
        <f>IFERROR(VLOOKUP(AN76,'Quy đổi công'!A:D,4,0),0)</f>
        <v>0</v>
      </c>
      <c r="AR76" s="115">
        <f t="shared" si="115"/>
        <v>0</v>
      </c>
      <c r="AS76" s="115">
        <f t="shared" si="106"/>
        <v>1</v>
      </c>
      <c r="AT76" s="115">
        <f t="shared" si="107"/>
        <v>0</v>
      </c>
      <c r="AU76" s="102" t="str">
        <f t="shared" si="116"/>
        <v/>
      </c>
      <c r="AV76" s="102" t="str">
        <f t="shared" si="117"/>
        <v/>
      </c>
      <c r="AW76" s="102" t="str">
        <f t="shared" si="118"/>
        <v/>
      </c>
      <c r="AX76" s="102" t="str">
        <f t="shared" si="119"/>
        <v/>
      </c>
      <c r="AY76" s="102" t="str">
        <f t="shared" si="120"/>
        <v/>
      </c>
      <c r="AZ76" s="102"/>
      <c r="BA76" s="102">
        <f>IF(AV76&lt;&gt;0,COUNTIFS($A$7:A76,A76,$AV$7:AV76,"Quên check in"))
+IF(AW76&lt;&gt;0,COUNTIFS($A$7:A76,A76,$AW$7:AW76,"Quên check in"))
+IF(AX76&lt;&gt;0,COUNTIFS($A$7:A76,A76,$AX$7:AX76,"Quên check out"))
+IF(AY76&lt;&gt;0,COUNTIFS($A$7:A76,A76,$AY$7:AY76,"Quên check out"))</f>
        <v>0</v>
      </c>
      <c r="BB76" s="143">
        <f t="shared" si="121"/>
        <v>0</v>
      </c>
    </row>
    <row r="77" spans="1:54" s="83" customFormat="1" ht="14.1" customHeight="1" x14ac:dyDescent="0.3">
      <c r="A77" s="103" t="s">
        <v>4</v>
      </c>
      <c r="B77" s="104" t="s">
        <v>14</v>
      </c>
      <c r="C77" s="105">
        <v>4700000</v>
      </c>
      <c r="D77" s="106">
        <v>43388</v>
      </c>
      <c r="E77" s="107">
        <v>43525</v>
      </c>
      <c r="F77" s="107">
        <v>73415</v>
      </c>
      <c r="G77" s="105">
        <v>26</v>
      </c>
      <c r="H77" s="105">
        <f t="shared" ref="H77:H86" si="122">WEEKDAY(J77,1)</f>
        <v>6</v>
      </c>
      <c r="I77" s="105"/>
      <c r="J77" s="108">
        <v>43777</v>
      </c>
      <c r="K77" s="108" t="str">
        <f t="shared" ref="K77:K86" si="123">$A77&amp;$J77&amp;"Vào"&amp;"Sáng"</f>
        <v>NV10143777VàoSáng</v>
      </c>
      <c r="L77" s="102" t="str">
        <f>IFERROR(VLOOKUP(K77,'1. Vân tay'!$F:$G,2,0),0)</f>
        <v>08:03:37</v>
      </c>
      <c r="M77" s="108" t="str">
        <f t="shared" ref="M77:M86" si="124">$A77&amp;$J77&amp;"Ra"&amp;"Sáng"</f>
        <v>NV10143777RaSáng</v>
      </c>
      <c r="N77" s="102">
        <f>IFERROR(VLOOKUP(M77,'1. Vân tay'!$F:$G,2,0),0)</f>
        <v>0</v>
      </c>
      <c r="O77" s="108" t="str">
        <f t="shared" ref="O77:O86" si="125">$A77&amp;$J77&amp;"Vào"&amp;"Chiều"</f>
        <v>NV10143777VàoChiều</v>
      </c>
      <c r="P77" s="102">
        <f>IFERROR(VLOOKUP(O77,'1. Vân tay'!$F:$G,2,0),0)</f>
        <v>0</v>
      </c>
      <c r="Q77" s="108" t="str">
        <f t="shared" ref="Q77:Q86" si="126">$A77&amp;$J77&amp;"Ra"&amp;"Chiều"</f>
        <v>NV10143777RaChiều</v>
      </c>
      <c r="R77" s="102" t="str">
        <f>IFERROR(VLOOKUP(Q77,'1. Vân tay'!$F:$G,2,0),0)</f>
        <v>17:31:36</v>
      </c>
      <c r="S77" s="102">
        <f t="shared" ref="S77:S86" si="127">IF(OR(
(AND(L77&lt;&gt;0,P77&lt;&gt;0)),
(AND(N77&lt;&gt;0,R77&lt;&gt;0))),"Kiểm tra",0)</f>
        <v>0</v>
      </c>
      <c r="T77" s="109">
        <v>0.33333333333333331</v>
      </c>
      <c r="U77" s="109">
        <v>0.5</v>
      </c>
      <c r="V77" s="109">
        <v>0.5625</v>
      </c>
      <c r="W77" s="109">
        <v>0.72916666666666663</v>
      </c>
      <c r="X77" s="102">
        <f>HDSD!$F$4</f>
        <v>5</v>
      </c>
      <c r="Y77" s="102">
        <f>SUMIFS('2. Đi muộn về sớm'!$K:$K,
'2. Đi muộn về sớm'!$B:$B,$A77,
'2. Đi muộn về sớm'!$D:$D,$J77)</f>
        <v>0</v>
      </c>
      <c r="Z77" s="110">
        <f t="shared" ref="Z77:Z86" si="128">IF(L77=0,0,IFERROR((HOUR(L77-T77)*60+MINUTE(L77-T77)+SECOND(L77-T77)/60),0))
+IF(N77=0,0, IFERROR((HOUR(U77-N77)*60+MINUTE(U77-N77)+SECOND(U77-N77)/60),0))
+IF(P77=0,0, IFERROR((HOUR(P77-V77)*60+MINUTE(P77-V77)+SECOND(P77-V77)/60),0))
+IF(R77=0,0, IFERROR((HOUR(W77-R77)*60+MINUTE(W77-R77)+SECOND(W77-R77)/60),0))</f>
        <v>3.6166666666666667</v>
      </c>
      <c r="AA77" s="110">
        <f t="shared" ref="AA77:AA86" si="129">IF(L77=0,0,IFERROR((HOUR(L77-"09:00:00")*60+MINUTE(L77-"09:00:00")+SECOND(L77-"09:00:00")/60),0))
+IF(N77=0,0, IFERROR((HOUR(U77-N77)*60+MINUTE(U77-N77)+SECOND(U77-N77)/60),0))
+IF(P77=0,0, IFERROR((HOUR(P77-V77)*60+MINUTE(P77-V77)+SECOND(P77-V77)/60),0))
+IF(R77=0,0, IFERROR((HOUR("16:30:00"-R77)*60+MINUTE("16:30:00"-R77)+SECOND("16:30:00"-R77)/60),0))</f>
        <v>0</v>
      </c>
      <c r="AB77" s="111">
        <f t="shared" ref="AB77:AB86" si="130">Z77-AA77</f>
        <v>3.6166666666666667</v>
      </c>
      <c r="AC77" s="112">
        <f t="shared" si="108"/>
        <v>0</v>
      </c>
      <c r="AD77" s="113">
        <f t="shared" si="109"/>
        <v>0</v>
      </c>
      <c r="AE77" s="111">
        <f t="shared" ref="AE77:AE86" si="131">AA77/60/8</f>
        <v>0</v>
      </c>
      <c r="AF77" s="113">
        <f t="shared" si="110"/>
        <v>0</v>
      </c>
      <c r="AG77" s="113">
        <f t="shared" si="111"/>
        <v>0</v>
      </c>
      <c r="AH77" s="114">
        <f t="shared" si="42"/>
        <v>9.4663888888888881</v>
      </c>
      <c r="AI77" s="102" t="str">
        <f t="shared" si="112"/>
        <v>X:8</v>
      </c>
      <c r="AJ77" s="102" t="str">
        <f t="shared" si="113"/>
        <v>NV10143777</v>
      </c>
      <c r="AK77" s="102" t="str">
        <f>IF(OR(J77&lt;D77,J77&gt;F77),"",
IFERROR(INDEX('3. Đơn xin nghỉ'!$K:$K,MATCH('4. Tổng hợp dữ liệu'!AJ77,'3. Đơn xin nghỉ'!$I:$I,0),1),
IF(AND(AU77="Không CC",I77&lt;&gt;1),"Ro:8","")))</f>
        <v/>
      </c>
      <c r="AL77" s="102" t="str">
        <f t="shared" si="114"/>
        <v/>
      </c>
      <c r="AM77" s="102" t="str">
        <f t="shared" ref="AM77:AM86" si="132">IF(OR(AI77="",AK77=""),AI77&amp;AK77,AI77&amp;","&amp;AK77)&amp;AL77</f>
        <v>X:8</v>
      </c>
      <c r="AN77" s="102" t="s">
        <v>92</v>
      </c>
      <c r="AO77" s="102"/>
      <c r="AP77" s="115">
        <f>IFERROR(VLOOKUP(AN77,'Quy đổi công'!A:D,3,0),0)</f>
        <v>1</v>
      </c>
      <c r="AQ77" s="115">
        <f>IFERROR(VLOOKUP(AN77,'Quy đổi công'!A:D,4,0),0)</f>
        <v>0</v>
      </c>
      <c r="AR77" s="115">
        <f t="shared" si="115"/>
        <v>0</v>
      </c>
      <c r="AS77" s="115">
        <f t="shared" ref="AS77:AS86" si="133">AP77-AR77</f>
        <v>1</v>
      </c>
      <c r="AT77" s="115">
        <f t="shared" ref="AT77:AT86" si="134">IF(AN77="P8",1)
+IF(OR(AN77="X:4,P:4",AN77="P:4,Rv:4",AN77="P:4,Ro:4"),1/2)</f>
        <v>0</v>
      </c>
      <c r="AU77" s="102" t="str">
        <f t="shared" si="116"/>
        <v/>
      </c>
      <c r="AV77" s="102" t="str">
        <f t="shared" si="117"/>
        <v/>
      </c>
      <c r="AW77" s="102" t="str">
        <f t="shared" si="118"/>
        <v/>
      </c>
      <c r="AX77" s="102" t="str">
        <f t="shared" si="119"/>
        <v/>
      </c>
      <c r="AY77" s="102" t="str">
        <f t="shared" si="120"/>
        <v/>
      </c>
      <c r="AZ77" s="102"/>
      <c r="BA77" s="102">
        <f>IF(AV77&lt;&gt;0,COUNTIFS($A$7:A77,A77,$AV$7:AV77,"Quên check in"))
+IF(AW77&lt;&gt;0,COUNTIFS($A$7:A77,A77,$AW$7:AW77,"Quên check in"))
+IF(AX77&lt;&gt;0,COUNTIFS($A$7:A77,A77,$AX$7:AX77,"Quên check out"))
+IF(AY77&lt;&gt;0,COUNTIFS($A$7:A77,A77,$AY$7:AY77,"Quên check out"))</f>
        <v>0</v>
      </c>
      <c r="BB77" s="143">
        <f t="shared" si="121"/>
        <v>0</v>
      </c>
    </row>
    <row r="78" spans="1:54" s="83" customFormat="1" ht="14.1" customHeight="1" x14ac:dyDescent="0.3">
      <c r="A78" s="103" t="s">
        <v>5</v>
      </c>
      <c r="B78" s="104" t="s">
        <v>28</v>
      </c>
      <c r="C78" s="105">
        <v>10000000</v>
      </c>
      <c r="D78" s="106">
        <v>43409</v>
      </c>
      <c r="E78" s="107">
        <v>43678</v>
      </c>
      <c r="F78" s="107">
        <v>73415</v>
      </c>
      <c r="G78" s="105">
        <v>26</v>
      </c>
      <c r="H78" s="105">
        <f t="shared" si="122"/>
        <v>6</v>
      </c>
      <c r="I78" s="105"/>
      <c r="J78" s="108">
        <v>43777</v>
      </c>
      <c r="K78" s="108" t="str">
        <f t="shared" si="123"/>
        <v>NV10743777VàoSáng</v>
      </c>
      <c r="L78" s="102" t="str">
        <f>IFERROR(VLOOKUP(K78,'1. Vân tay'!$F:$G,2,0),0)</f>
        <v>07:51:27</v>
      </c>
      <c r="M78" s="108" t="str">
        <f t="shared" si="124"/>
        <v>NV10743777RaSáng</v>
      </c>
      <c r="N78" s="102">
        <f>IFERROR(VLOOKUP(M78,'1. Vân tay'!$F:$G,2,0),0)</f>
        <v>0</v>
      </c>
      <c r="O78" s="108" t="str">
        <f t="shared" si="125"/>
        <v>NV10743777VàoChiều</v>
      </c>
      <c r="P78" s="102">
        <f>IFERROR(VLOOKUP(O78,'1. Vân tay'!$F:$G,2,0),0)</f>
        <v>0</v>
      </c>
      <c r="Q78" s="108" t="str">
        <f t="shared" si="126"/>
        <v>NV10743777RaChiều</v>
      </c>
      <c r="R78" s="102" t="str">
        <f>IFERROR(VLOOKUP(Q78,'1. Vân tay'!$F:$G,2,0),0)</f>
        <v>17:33:55</v>
      </c>
      <c r="S78" s="102">
        <f t="shared" si="127"/>
        <v>0</v>
      </c>
      <c r="T78" s="109">
        <v>0.33333333333333331</v>
      </c>
      <c r="U78" s="109">
        <v>0.5</v>
      </c>
      <c r="V78" s="109">
        <v>0.5625</v>
      </c>
      <c r="W78" s="109">
        <v>0.72916666666666663</v>
      </c>
      <c r="X78" s="102">
        <f>HDSD!$F$4</f>
        <v>5</v>
      </c>
      <c r="Y78" s="102">
        <f>SUMIFS('2. Đi muộn về sớm'!$K:$K,
'2. Đi muộn về sớm'!$B:$B,$A78,
'2. Đi muộn về sớm'!$D:$D,$J78)</f>
        <v>0</v>
      </c>
      <c r="Z78" s="110">
        <f t="shared" si="128"/>
        <v>0</v>
      </c>
      <c r="AA78" s="110">
        <f t="shared" si="129"/>
        <v>0</v>
      </c>
      <c r="AB78" s="111">
        <f t="shared" si="130"/>
        <v>0</v>
      </c>
      <c r="AC78" s="112">
        <f t="shared" si="108"/>
        <v>0</v>
      </c>
      <c r="AD78" s="113">
        <f t="shared" si="109"/>
        <v>0</v>
      </c>
      <c r="AE78" s="111">
        <f t="shared" si="131"/>
        <v>0</v>
      </c>
      <c r="AF78" s="113">
        <f t="shared" si="110"/>
        <v>0</v>
      </c>
      <c r="AG78" s="113">
        <f t="shared" si="111"/>
        <v>0</v>
      </c>
      <c r="AH78" s="114">
        <f t="shared" si="42"/>
        <v>9.7077777777777765</v>
      </c>
      <c r="AI78" s="102" t="str">
        <f t="shared" si="112"/>
        <v>X:8</v>
      </c>
      <c r="AJ78" s="102" t="str">
        <f t="shared" si="113"/>
        <v>NV10743777</v>
      </c>
      <c r="AK78" s="102" t="str">
        <f>IF(OR(J78&lt;D78,J78&gt;F78),"",
IFERROR(INDEX('3. Đơn xin nghỉ'!$K:$K,MATCH('4. Tổng hợp dữ liệu'!AJ78,'3. Đơn xin nghỉ'!$I:$I,0),1),
IF(AND(AU78="Không CC",I78&lt;&gt;1),"Ro:8","")))</f>
        <v/>
      </c>
      <c r="AL78" s="102" t="str">
        <f t="shared" si="114"/>
        <v/>
      </c>
      <c r="AM78" s="102" t="str">
        <f t="shared" si="132"/>
        <v>X:8</v>
      </c>
      <c r="AN78" s="102" t="s">
        <v>92</v>
      </c>
      <c r="AO78" s="102"/>
      <c r="AP78" s="115">
        <f>IFERROR(VLOOKUP(AN78,'Quy đổi công'!A:D,3,0),0)</f>
        <v>1</v>
      </c>
      <c r="AQ78" s="115">
        <f>IFERROR(VLOOKUP(AN78,'Quy đổi công'!A:D,4,0),0)</f>
        <v>0</v>
      </c>
      <c r="AR78" s="115">
        <f t="shared" si="115"/>
        <v>0</v>
      </c>
      <c r="AS78" s="115">
        <f t="shared" si="133"/>
        <v>1</v>
      </c>
      <c r="AT78" s="115">
        <f t="shared" si="134"/>
        <v>0</v>
      </c>
      <c r="AU78" s="102" t="str">
        <f t="shared" si="116"/>
        <v/>
      </c>
      <c r="AV78" s="102" t="str">
        <f t="shared" si="117"/>
        <v/>
      </c>
      <c r="AW78" s="102" t="str">
        <f t="shared" si="118"/>
        <v/>
      </c>
      <c r="AX78" s="102" t="str">
        <f t="shared" si="119"/>
        <v/>
      </c>
      <c r="AY78" s="102" t="str">
        <f t="shared" si="120"/>
        <v/>
      </c>
      <c r="AZ78" s="102"/>
      <c r="BA78" s="102">
        <f>IF(AV78&lt;&gt;0,COUNTIFS($A$7:A78,A78,$AV$7:AV78,"Quên check in"))
+IF(AW78&lt;&gt;0,COUNTIFS($A$7:A78,A78,$AW$7:AW78,"Quên check in"))
+IF(AX78&lt;&gt;0,COUNTIFS($A$7:A78,A78,$AX$7:AX78,"Quên check out"))
+IF(AY78&lt;&gt;0,COUNTIFS($A$7:A78,A78,$AY$7:AY78,"Quên check out"))</f>
        <v>0</v>
      </c>
      <c r="BB78" s="143">
        <f t="shared" si="121"/>
        <v>0</v>
      </c>
    </row>
    <row r="79" spans="1:54" s="83" customFormat="1" ht="14.1" customHeight="1" x14ac:dyDescent="0.3">
      <c r="A79" s="103" t="s">
        <v>6</v>
      </c>
      <c r="B79" s="104" t="s">
        <v>15</v>
      </c>
      <c r="C79" s="105">
        <v>4700000</v>
      </c>
      <c r="D79" s="106">
        <v>43409</v>
      </c>
      <c r="E79" s="107">
        <v>43617</v>
      </c>
      <c r="F79" s="107">
        <v>73415</v>
      </c>
      <c r="G79" s="105">
        <v>26</v>
      </c>
      <c r="H79" s="105">
        <f t="shared" si="122"/>
        <v>6</v>
      </c>
      <c r="I79" s="105"/>
      <c r="J79" s="108">
        <v>43777</v>
      </c>
      <c r="K79" s="108" t="str">
        <f t="shared" si="123"/>
        <v>NV10843777VàoSáng</v>
      </c>
      <c r="L79" s="102" t="str">
        <f>IFERROR(VLOOKUP(K79,'1. Vân tay'!$F:$G,2,0),0)</f>
        <v>08:10:46</v>
      </c>
      <c r="M79" s="108" t="str">
        <f t="shared" si="124"/>
        <v>NV10843777RaSáng</v>
      </c>
      <c r="N79" s="102">
        <f>IFERROR(VLOOKUP(M79,'1. Vân tay'!$F:$G,2,0),0)</f>
        <v>0</v>
      </c>
      <c r="O79" s="108" t="str">
        <f t="shared" si="125"/>
        <v>NV10843777VàoChiều</v>
      </c>
      <c r="P79" s="102">
        <f>IFERROR(VLOOKUP(O79,'1. Vân tay'!$F:$G,2,0),0)</f>
        <v>0</v>
      </c>
      <c r="Q79" s="108" t="str">
        <f t="shared" si="126"/>
        <v>NV10843777RaChiều</v>
      </c>
      <c r="R79" s="102" t="str">
        <f>IFERROR(VLOOKUP(Q79,'1. Vân tay'!$F:$G,2,0),0)</f>
        <v>16:45:10</v>
      </c>
      <c r="S79" s="102">
        <f t="shared" si="127"/>
        <v>0</v>
      </c>
      <c r="T79" s="109">
        <v>0.33333333333333331</v>
      </c>
      <c r="U79" s="109">
        <v>0.5</v>
      </c>
      <c r="V79" s="109">
        <v>0.5625</v>
      </c>
      <c r="W79" s="109">
        <v>0.72916666666666663</v>
      </c>
      <c r="X79" s="102">
        <f>HDSD!$F$4</f>
        <v>5</v>
      </c>
      <c r="Y79" s="102">
        <f>SUMIFS('2. Đi muộn về sớm'!$K:$K,
'2. Đi muộn về sớm'!$B:$B,$A79,
'2. Đi muộn về sớm'!$D:$D,$J79)</f>
        <v>60</v>
      </c>
      <c r="Z79" s="110">
        <f t="shared" si="128"/>
        <v>55.6</v>
      </c>
      <c r="AA79" s="110">
        <f t="shared" si="129"/>
        <v>0</v>
      </c>
      <c r="AB79" s="111">
        <f t="shared" si="130"/>
        <v>55.6</v>
      </c>
      <c r="AC79" s="112">
        <f t="shared" si="108"/>
        <v>0</v>
      </c>
      <c r="AD79" s="113">
        <f t="shared" si="109"/>
        <v>0</v>
      </c>
      <c r="AE79" s="111">
        <f t="shared" si="131"/>
        <v>0</v>
      </c>
      <c r="AF79" s="113">
        <f t="shared" si="110"/>
        <v>0</v>
      </c>
      <c r="AG79" s="113">
        <f t="shared" si="111"/>
        <v>0</v>
      </c>
      <c r="AH79" s="114">
        <f t="shared" si="42"/>
        <v>8.5733333333333324</v>
      </c>
      <c r="AI79" s="102" t="str">
        <f t="shared" si="112"/>
        <v>X:8</v>
      </c>
      <c r="AJ79" s="102" t="str">
        <f t="shared" si="113"/>
        <v>NV10843777</v>
      </c>
      <c r="AK79" s="102" t="str">
        <f>IF(OR(J79&lt;D79,J79&gt;F79),"",
IFERROR(INDEX('3. Đơn xin nghỉ'!$K:$K,MATCH('4. Tổng hợp dữ liệu'!AJ79,'3. Đơn xin nghỉ'!$I:$I,0),1),
IF(AND(AU79="Không CC",I79&lt;&gt;1),"Ro:8","")))</f>
        <v/>
      </c>
      <c r="AL79" s="102" t="str">
        <f t="shared" si="114"/>
        <v/>
      </c>
      <c r="AM79" s="102" t="str">
        <f t="shared" si="132"/>
        <v>X:8</v>
      </c>
      <c r="AN79" s="102" t="s">
        <v>92</v>
      </c>
      <c r="AO79" s="102"/>
      <c r="AP79" s="115">
        <f>IFERROR(VLOOKUP(AN79,'Quy đổi công'!A:D,3,0),0)</f>
        <v>1</v>
      </c>
      <c r="AQ79" s="115">
        <f>IFERROR(VLOOKUP(AN79,'Quy đổi công'!A:D,4,0),0)</f>
        <v>0</v>
      </c>
      <c r="AR79" s="115">
        <f t="shared" si="115"/>
        <v>0</v>
      </c>
      <c r="AS79" s="115">
        <f t="shared" si="133"/>
        <v>1</v>
      </c>
      <c r="AT79" s="115">
        <f t="shared" si="134"/>
        <v>0</v>
      </c>
      <c r="AU79" s="102" t="str">
        <f t="shared" si="116"/>
        <v/>
      </c>
      <c r="AV79" s="102" t="str">
        <f t="shared" si="117"/>
        <v/>
      </c>
      <c r="AW79" s="102" t="str">
        <f t="shared" si="118"/>
        <v/>
      </c>
      <c r="AX79" s="102" t="str">
        <f t="shared" si="119"/>
        <v/>
      </c>
      <c r="AY79" s="102" t="str">
        <f t="shared" si="120"/>
        <v/>
      </c>
      <c r="AZ79" s="102"/>
      <c r="BA79" s="102">
        <f>IF(AV79&lt;&gt;0,COUNTIFS($A$7:A79,A79,$AV$7:AV79,"Quên check in"))
+IF(AW79&lt;&gt;0,COUNTIFS($A$7:A79,A79,$AW$7:AW79,"Quên check in"))
+IF(AX79&lt;&gt;0,COUNTIFS($A$7:A79,A79,$AX$7:AX79,"Quên check out"))
+IF(AY79&lt;&gt;0,COUNTIFS($A$7:A79,A79,$AY$7:AY79,"Quên check out"))</f>
        <v>0</v>
      </c>
      <c r="BB79" s="143">
        <f t="shared" si="121"/>
        <v>0</v>
      </c>
    </row>
    <row r="80" spans="1:54" s="83" customFormat="1" ht="14.1" customHeight="1" x14ac:dyDescent="0.3">
      <c r="A80" s="103" t="s">
        <v>7</v>
      </c>
      <c r="B80" s="104" t="s">
        <v>16</v>
      </c>
      <c r="C80" s="105">
        <v>5000000</v>
      </c>
      <c r="D80" s="106">
        <v>43416</v>
      </c>
      <c r="E80" s="107">
        <v>43617</v>
      </c>
      <c r="F80" s="107">
        <v>73415</v>
      </c>
      <c r="G80" s="105">
        <v>26</v>
      </c>
      <c r="H80" s="105">
        <f t="shared" si="122"/>
        <v>6</v>
      </c>
      <c r="I80" s="105"/>
      <c r="J80" s="108">
        <v>43777</v>
      </c>
      <c r="K80" s="108" t="str">
        <f t="shared" si="123"/>
        <v>NV10943777VàoSáng</v>
      </c>
      <c r="L80" s="102" t="str">
        <f>IFERROR(VLOOKUP(K80,'1. Vân tay'!$F:$G,2,0),0)</f>
        <v>07:46:31</v>
      </c>
      <c r="M80" s="108" t="str">
        <f t="shared" si="124"/>
        <v>NV10943777RaSáng</v>
      </c>
      <c r="N80" s="102">
        <f>IFERROR(VLOOKUP(M80,'1. Vân tay'!$F:$G,2,0),0)</f>
        <v>0</v>
      </c>
      <c r="O80" s="108" t="str">
        <f t="shared" si="125"/>
        <v>NV10943777VàoChiều</v>
      </c>
      <c r="P80" s="102">
        <f>IFERROR(VLOOKUP(O80,'1. Vân tay'!$F:$G,2,0),0)</f>
        <v>0</v>
      </c>
      <c r="Q80" s="108" t="str">
        <f t="shared" si="126"/>
        <v>NV10943777RaChiều</v>
      </c>
      <c r="R80" s="102" t="str">
        <f>IFERROR(VLOOKUP(Q80,'1. Vân tay'!$F:$G,2,0),0)</f>
        <v>17:41:26</v>
      </c>
      <c r="S80" s="102">
        <f t="shared" si="127"/>
        <v>0</v>
      </c>
      <c r="T80" s="109">
        <v>0.33333333333333331</v>
      </c>
      <c r="U80" s="109">
        <v>0.5</v>
      </c>
      <c r="V80" s="109">
        <v>0.5625</v>
      </c>
      <c r="W80" s="109">
        <v>0.72916666666666663</v>
      </c>
      <c r="X80" s="102">
        <f>HDSD!$F$4</f>
        <v>5</v>
      </c>
      <c r="Y80" s="102">
        <f>SUMIFS('2. Đi muộn về sớm'!$K:$K,
'2. Đi muộn về sớm'!$B:$B,$A80,
'2. Đi muộn về sớm'!$D:$D,$J80)</f>
        <v>0</v>
      </c>
      <c r="Z80" s="110">
        <f t="shared" si="128"/>
        <v>0</v>
      </c>
      <c r="AA80" s="110">
        <f t="shared" si="129"/>
        <v>0</v>
      </c>
      <c r="AB80" s="111">
        <f t="shared" si="130"/>
        <v>0</v>
      </c>
      <c r="AC80" s="112">
        <f t="shared" si="108"/>
        <v>0</v>
      </c>
      <c r="AD80" s="113">
        <f t="shared" si="109"/>
        <v>0</v>
      </c>
      <c r="AE80" s="111">
        <f t="shared" si="131"/>
        <v>0</v>
      </c>
      <c r="AF80" s="113">
        <f t="shared" si="110"/>
        <v>0</v>
      </c>
      <c r="AG80" s="113">
        <f t="shared" si="111"/>
        <v>0</v>
      </c>
      <c r="AH80" s="114">
        <f t="shared" si="42"/>
        <v>9.9152777777777779</v>
      </c>
      <c r="AI80" s="102" t="str">
        <f t="shared" si="112"/>
        <v>X:8</v>
      </c>
      <c r="AJ80" s="102" t="str">
        <f t="shared" si="113"/>
        <v>NV10943777</v>
      </c>
      <c r="AK80" s="102" t="str">
        <f>IF(OR(J80&lt;D80,J80&gt;F80),"",
IFERROR(INDEX('3. Đơn xin nghỉ'!$K:$K,MATCH('4. Tổng hợp dữ liệu'!AJ80,'3. Đơn xin nghỉ'!$I:$I,0),1),
IF(AND(AU80="Không CC",I80&lt;&gt;1),"Ro:8","")))</f>
        <v/>
      </c>
      <c r="AL80" s="102" t="str">
        <f t="shared" si="114"/>
        <v/>
      </c>
      <c r="AM80" s="102" t="str">
        <f t="shared" si="132"/>
        <v>X:8</v>
      </c>
      <c r="AN80" s="102" t="s">
        <v>92</v>
      </c>
      <c r="AO80" s="102"/>
      <c r="AP80" s="115">
        <f>IFERROR(VLOOKUP(AN80,'Quy đổi công'!A:D,3,0),0)</f>
        <v>1</v>
      </c>
      <c r="AQ80" s="115">
        <f>IFERROR(VLOOKUP(AN80,'Quy đổi công'!A:D,4,0),0)</f>
        <v>0</v>
      </c>
      <c r="AR80" s="115">
        <f t="shared" si="115"/>
        <v>0</v>
      </c>
      <c r="AS80" s="115">
        <f t="shared" si="133"/>
        <v>1</v>
      </c>
      <c r="AT80" s="115">
        <f t="shared" si="134"/>
        <v>0</v>
      </c>
      <c r="AU80" s="102" t="str">
        <f t="shared" si="116"/>
        <v/>
      </c>
      <c r="AV80" s="102" t="str">
        <f t="shared" si="117"/>
        <v/>
      </c>
      <c r="AW80" s="102" t="str">
        <f t="shared" si="118"/>
        <v/>
      </c>
      <c r="AX80" s="102" t="str">
        <f t="shared" si="119"/>
        <v/>
      </c>
      <c r="AY80" s="102" t="str">
        <f t="shared" si="120"/>
        <v/>
      </c>
      <c r="AZ80" s="102"/>
      <c r="BA80" s="102">
        <f>IF(AV80&lt;&gt;0,COUNTIFS($A$7:A80,A80,$AV$7:AV80,"Quên check in"))
+IF(AW80&lt;&gt;0,COUNTIFS($A$7:A80,A80,$AW$7:AW80,"Quên check in"))
+IF(AX80&lt;&gt;0,COUNTIFS($A$7:A80,A80,$AX$7:AX80,"Quên check out"))
+IF(AY80&lt;&gt;0,COUNTIFS($A$7:A80,A80,$AY$7:AY80,"Quên check out"))</f>
        <v>0</v>
      </c>
      <c r="BB80" s="143">
        <f t="shared" si="121"/>
        <v>0</v>
      </c>
    </row>
    <row r="81" spans="1:54" s="83" customFormat="1" ht="14.1" customHeight="1" x14ac:dyDescent="0.3">
      <c r="A81" s="103" t="s">
        <v>8</v>
      </c>
      <c r="B81" s="104" t="s">
        <v>17</v>
      </c>
      <c r="C81" s="105">
        <v>5000000</v>
      </c>
      <c r="D81" s="106">
        <v>43423</v>
      </c>
      <c r="E81" s="107">
        <v>43617</v>
      </c>
      <c r="F81" s="107">
        <v>73415</v>
      </c>
      <c r="G81" s="105">
        <v>26</v>
      </c>
      <c r="H81" s="105">
        <f t="shared" si="122"/>
        <v>6</v>
      </c>
      <c r="I81" s="105"/>
      <c r="J81" s="108">
        <v>43777</v>
      </c>
      <c r="K81" s="108" t="str">
        <f t="shared" si="123"/>
        <v>NV11343777VàoSáng</v>
      </c>
      <c r="L81" s="102" t="str">
        <f>IFERROR(VLOOKUP(K81,'1. Vân tay'!$F:$G,2,0),0)</f>
        <v>07:46:27</v>
      </c>
      <c r="M81" s="108" t="str">
        <f t="shared" si="124"/>
        <v>NV11343777RaSáng</v>
      </c>
      <c r="N81" s="102">
        <f>IFERROR(VLOOKUP(M81,'1. Vân tay'!$F:$G,2,0),0)</f>
        <v>0</v>
      </c>
      <c r="O81" s="108" t="str">
        <f t="shared" si="125"/>
        <v>NV11343777VàoChiều</v>
      </c>
      <c r="P81" s="102">
        <f>IFERROR(VLOOKUP(O81,'1. Vân tay'!$F:$G,2,0),0)</f>
        <v>0</v>
      </c>
      <c r="Q81" s="108" t="str">
        <f t="shared" si="126"/>
        <v>NV11343777RaChiều</v>
      </c>
      <c r="R81" s="102">
        <f>IFERROR(VLOOKUP(Q81,'1. Vân tay'!$F:$G,2,0),0)</f>
        <v>0</v>
      </c>
      <c r="S81" s="102">
        <f t="shared" si="127"/>
        <v>0</v>
      </c>
      <c r="T81" s="109">
        <v>0.33333333333333331</v>
      </c>
      <c r="U81" s="109">
        <v>0.5</v>
      </c>
      <c r="V81" s="109">
        <v>0.5625</v>
      </c>
      <c r="W81" s="109">
        <v>0.72916666666666663</v>
      </c>
      <c r="X81" s="102">
        <f>HDSD!$F$4</f>
        <v>5</v>
      </c>
      <c r="Y81" s="102">
        <f>SUMIFS('2. Đi muộn về sớm'!$K:$K,
'2. Đi muộn về sớm'!$B:$B,$A81,
'2. Đi muộn về sớm'!$D:$D,$J81)</f>
        <v>0</v>
      </c>
      <c r="Z81" s="110">
        <f t="shared" si="128"/>
        <v>0</v>
      </c>
      <c r="AA81" s="110">
        <f t="shared" si="129"/>
        <v>0</v>
      </c>
      <c r="AB81" s="111">
        <f t="shared" si="130"/>
        <v>0</v>
      </c>
      <c r="AC81" s="112">
        <f t="shared" si="108"/>
        <v>0</v>
      </c>
      <c r="AD81" s="113">
        <f t="shared" si="109"/>
        <v>0</v>
      </c>
      <c r="AE81" s="111">
        <f t="shared" si="131"/>
        <v>0</v>
      </c>
      <c r="AF81" s="113">
        <f t="shared" si="110"/>
        <v>0</v>
      </c>
      <c r="AG81" s="113">
        <f t="shared" si="111"/>
        <v>0</v>
      </c>
      <c r="AH81" s="114">
        <f t="shared" si="42"/>
        <v>4.2258333333333331</v>
      </c>
      <c r="AI81" s="102" t="str">
        <f t="shared" si="112"/>
        <v>X:4</v>
      </c>
      <c r="AJ81" s="102" t="str">
        <f t="shared" si="113"/>
        <v>NV11343777</v>
      </c>
      <c r="AK81" s="102" t="str">
        <f>IF(OR(J81&lt;D81,J81&gt;F81),"",
IFERROR(INDEX('3. Đơn xin nghỉ'!$K:$K,MATCH('4. Tổng hợp dữ liệu'!AJ81,'3. Đơn xin nghỉ'!$I:$I,0),1),
IF(AND(AU81="Không CC",I81&lt;&gt;1),"Ro:8","")))</f>
        <v/>
      </c>
      <c r="AL81" s="102" t="str">
        <f t="shared" si="114"/>
        <v/>
      </c>
      <c r="AM81" s="102" t="str">
        <f t="shared" si="132"/>
        <v>X:4</v>
      </c>
      <c r="AN81" s="102" t="s">
        <v>92</v>
      </c>
      <c r="AO81" s="102" t="s">
        <v>281</v>
      </c>
      <c r="AP81" s="115">
        <f>IFERROR(VLOOKUP(AN81,'Quy đổi công'!A:D,3,0),0)</f>
        <v>1</v>
      </c>
      <c r="AQ81" s="115">
        <f>IFERROR(VLOOKUP(AN81,'Quy đổi công'!A:D,4,0),0)</f>
        <v>0</v>
      </c>
      <c r="AR81" s="115">
        <f t="shared" si="115"/>
        <v>0</v>
      </c>
      <c r="AS81" s="115">
        <f t="shared" si="133"/>
        <v>1</v>
      </c>
      <c r="AT81" s="115">
        <f t="shared" si="134"/>
        <v>0</v>
      </c>
      <c r="AU81" s="102" t="str">
        <f t="shared" si="116"/>
        <v/>
      </c>
      <c r="AV81" s="102" t="str">
        <f t="shared" si="117"/>
        <v/>
      </c>
      <c r="AW81" s="102" t="str">
        <f t="shared" si="118"/>
        <v/>
      </c>
      <c r="AX81" s="102" t="str">
        <f t="shared" si="119"/>
        <v>Quên check out</v>
      </c>
      <c r="AY81" s="102" t="str">
        <f t="shared" si="120"/>
        <v/>
      </c>
      <c r="AZ81" s="102" t="s">
        <v>230</v>
      </c>
      <c r="BA81" s="102">
        <f>IF(AV81&lt;&gt;0,COUNTIFS($A$7:A81,A81,$AV$7:AV81,"Quên check in"))
+IF(AW81&lt;&gt;0,COUNTIFS($A$7:A81,A81,$AW$7:AW81,"Quên check in"))
+IF(AX81&lt;&gt;0,COUNTIFS($A$7:A81,A81,$AX$7:AX81,"Quên check out"))
+IF(AY81&lt;&gt;0,COUNTIFS($A$7:A81,A81,$AY$7:AY81,"Quên check out"))</f>
        <v>1</v>
      </c>
      <c r="BB81" s="143">
        <f t="shared" si="121"/>
        <v>0</v>
      </c>
    </row>
    <row r="82" spans="1:54" s="83" customFormat="1" ht="14.1" customHeight="1" x14ac:dyDescent="0.3">
      <c r="A82" s="103" t="s">
        <v>9</v>
      </c>
      <c r="B82" s="104" t="s">
        <v>18</v>
      </c>
      <c r="C82" s="105">
        <v>4900000</v>
      </c>
      <c r="D82" s="106">
        <v>43437</v>
      </c>
      <c r="E82" s="107">
        <v>43617</v>
      </c>
      <c r="F82" s="107">
        <v>73415</v>
      </c>
      <c r="G82" s="105">
        <v>26</v>
      </c>
      <c r="H82" s="105">
        <f t="shared" si="122"/>
        <v>6</v>
      </c>
      <c r="I82" s="105"/>
      <c r="J82" s="108">
        <v>43777</v>
      </c>
      <c r="K82" s="108" t="str">
        <f t="shared" si="123"/>
        <v>NV11443777VàoSáng</v>
      </c>
      <c r="L82" s="102" t="str">
        <f>IFERROR(VLOOKUP(K82,'1. Vân tay'!$F:$G,2,0),0)</f>
        <v>07:55:08</v>
      </c>
      <c r="M82" s="108" t="str">
        <f t="shared" si="124"/>
        <v>NV11443777RaSáng</v>
      </c>
      <c r="N82" s="102">
        <f>IFERROR(VLOOKUP(M82,'1. Vân tay'!$F:$G,2,0),0)</f>
        <v>0</v>
      </c>
      <c r="O82" s="108" t="str">
        <f t="shared" si="125"/>
        <v>NV11443777VàoChiều</v>
      </c>
      <c r="P82" s="102">
        <f>IFERROR(VLOOKUP(O82,'1. Vân tay'!$F:$G,2,0),0)</f>
        <v>0</v>
      </c>
      <c r="Q82" s="108" t="str">
        <f t="shared" si="126"/>
        <v>NV11443777RaChiều</v>
      </c>
      <c r="R82" s="102" t="str">
        <f>IFERROR(VLOOKUP(Q82,'1. Vân tay'!$F:$G,2,0),0)</f>
        <v>17:34:49</v>
      </c>
      <c r="S82" s="102">
        <f t="shared" si="127"/>
        <v>0</v>
      </c>
      <c r="T82" s="109">
        <v>0.33333333333333331</v>
      </c>
      <c r="U82" s="109">
        <v>0.5</v>
      </c>
      <c r="V82" s="109">
        <v>0.5625</v>
      </c>
      <c r="W82" s="109">
        <v>0.72916666666666663</v>
      </c>
      <c r="X82" s="102">
        <f>HDSD!$F$4</f>
        <v>5</v>
      </c>
      <c r="Y82" s="102">
        <f>SUMIFS('2. Đi muộn về sớm'!$K:$K,
'2. Đi muộn về sớm'!$B:$B,$A82,
'2. Đi muộn về sớm'!$D:$D,$J82)</f>
        <v>0</v>
      </c>
      <c r="Z82" s="110">
        <f t="shared" si="128"/>
        <v>0</v>
      </c>
      <c r="AA82" s="110">
        <f t="shared" si="129"/>
        <v>0</v>
      </c>
      <c r="AB82" s="111">
        <f t="shared" si="130"/>
        <v>0</v>
      </c>
      <c r="AC82" s="112">
        <f t="shared" si="108"/>
        <v>0</v>
      </c>
      <c r="AD82" s="113">
        <f t="shared" si="109"/>
        <v>0</v>
      </c>
      <c r="AE82" s="111">
        <f t="shared" si="131"/>
        <v>0</v>
      </c>
      <c r="AF82" s="113">
        <f t="shared" si="110"/>
        <v>0</v>
      </c>
      <c r="AG82" s="113">
        <f t="shared" si="111"/>
        <v>0</v>
      </c>
      <c r="AH82" s="114">
        <f t="shared" si="42"/>
        <v>9.6613888888888884</v>
      </c>
      <c r="AI82" s="102" t="str">
        <f t="shared" si="112"/>
        <v>X:8</v>
      </c>
      <c r="AJ82" s="102" t="str">
        <f t="shared" si="113"/>
        <v>NV11443777</v>
      </c>
      <c r="AK82" s="102" t="str">
        <f>IF(OR(J82&lt;D82,J82&gt;F82),"",
IFERROR(INDEX('3. Đơn xin nghỉ'!$K:$K,MATCH('4. Tổng hợp dữ liệu'!AJ82,'3. Đơn xin nghỉ'!$I:$I,0),1),
IF(AND(AU82="Không CC",I82&lt;&gt;1),"Ro:8","")))</f>
        <v/>
      </c>
      <c r="AL82" s="102" t="str">
        <f t="shared" si="114"/>
        <v/>
      </c>
      <c r="AM82" s="102" t="str">
        <f t="shared" si="132"/>
        <v>X:8</v>
      </c>
      <c r="AN82" s="102" t="s">
        <v>92</v>
      </c>
      <c r="AO82" s="102"/>
      <c r="AP82" s="115">
        <f>IFERROR(VLOOKUP(AN82,'Quy đổi công'!A:D,3,0),0)</f>
        <v>1</v>
      </c>
      <c r="AQ82" s="115">
        <f>IFERROR(VLOOKUP(AN82,'Quy đổi công'!A:D,4,0),0)</f>
        <v>0</v>
      </c>
      <c r="AR82" s="115">
        <f t="shared" si="115"/>
        <v>0</v>
      </c>
      <c r="AS82" s="115">
        <f t="shared" si="133"/>
        <v>1</v>
      </c>
      <c r="AT82" s="115">
        <f t="shared" si="134"/>
        <v>0</v>
      </c>
      <c r="AU82" s="102" t="str">
        <f t="shared" si="116"/>
        <v/>
      </c>
      <c r="AV82" s="102" t="str">
        <f t="shared" si="117"/>
        <v/>
      </c>
      <c r="AW82" s="102" t="str">
        <f t="shared" si="118"/>
        <v/>
      </c>
      <c r="AX82" s="102" t="str">
        <f t="shared" si="119"/>
        <v/>
      </c>
      <c r="AY82" s="102" t="str">
        <f t="shared" si="120"/>
        <v/>
      </c>
      <c r="AZ82" s="102"/>
      <c r="BA82" s="102">
        <f>IF(AV82&lt;&gt;0,COUNTIFS($A$7:A82,A82,$AV$7:AV82,"Quên check in"))
+IF(AW82&lt;&gt;0,COUNTIFS($A$7:A82,A82,$AW$7:AW82,"Quên check in"))
+IF(AX82&lt;&gt;0,COUNTIFS($A$7:A82,A82,$AX$7:AX82,"Quên check out"))
+IF(AY82&lt;&gt;0,COUNTIFS($A$7:A82,A82,$AY$7:AY82,"Quên check out"))</f>
        <v>0</v>
      </c>
      <c r="BB82" s="143">
        <f t="shared" si="121"/>
        <v>0</v>
      </c>
    </row>
    <row r="83" spans="1:54" s="83" customFormat="1" ht="14.1" customHeight="1" x14ac:dyDescent="0.3">
      <c r="A83" s="103" t="s">
        <v>10</v>
      </c>
      <c r="B83" s="104" t="s">
        <v>19</v>
      </c>
      <c r="C83" s="105">
        <v>5000000</v>
      </c>
      <c r="D83" s="106">
        <v>43445</v>
      </c>
      <c r="E83" s="107">
        <v>43647</v>
      </c>
      <c r="F83" s="107">
        <v>73415</v>
      </c>
      <c r="G83" s="105">
        <v>26</v>
      </c>
      <c r="H83" s="105">
        <f t="shared" si="122"/>
        <v>6</v>
      </c>
      <c r="I83" s="105"/>
      <c r="J83" s="108">
        <v>43777</v>
      </c>
      <c r="K83" s="108" t="str">
        <f t="shared" si="123"/>
        <v>NV11843777VàoSáng</v>
      </c>
      <c r="L83" s="102" t="str">
        <f>IFERROR(VLOOKUP(K83,'1. Vân tay'!$F:$G,2,0),0)</f>
        <v>07:55:24</v>
      </c>
      <c r="M83" s="108" t="str">
        <f t="shared" si="124"/>
        <v>NV11843777RaSáng</v>
      </c>
      <c r="N83" s="102">
        <f>IFERROR(VLOOKUP(M83,'1. Vân tay'!$F:$G,2,0),0)</f>
        <v>0</v>
      </c>
      <c r="O83" s="108" t="str">
        <f t="shared" si="125"/>
        <v>NV11843777VàoChiều</v>
      </c>
      <c r="P83" s="102">
        <f>IFERROR(VLOOKUP(O83,'1. Vân tay'!$F:$G,2,0),0)</f>
        <v>0</v>
      </c>
      <c r="Q83" s="108" t="str">
        <f t="shared" si="126"/>
        <v>NV11843777RaChiều</v>
      </c>
      <c r="R83" s="102" t="str">
        <f>IFERROR(VLOOKUP(Q83,'1. Vân tay'!$F:$G,2,0),0)</f>
        <v>17:35:06</v>
      </c>
      <c r="S83" s="102">
        <f t="shared" si="127"/>
        <v>0</v>
      </c>
      <c r="T83" s="109">
        <v>0.33333333333333331</v>
      </c>
      <c r="U83" s="109">
        <v>0.5</v>
      </c>
      <c r="V83" s="109">
        <v>0.5625</v>
      </c>
      <c r="W83" s="109">
        <v>0.72916666666666663</v>
      </c>
      <c r="X83" s="102">
        <f>HDSD!$F$4</f>
        <v>5</v>
      </c>
      <c r="Y83" s="102">
        <f>SUMIFS('2. Đi muộn về sớm'!$K:$K,
'2. Đi muộn về sớm'!$B:$B,$A83,
'2. Đi muộn về sớm'!$D:$D,$J83)</f>
        <v>0</v>
      </c>
      <c r="Z83" s="110">
        <f t="shared" si="128"/>
        <v>0</v>
      </c>
      <c r="AA83" s="110">
        <f t="shared" si="129"/>
        <v>0</v>
      </c>
      <c r="AB83" s="111">
        <f t="shared" si="130"/>
        <v>0</v>
      </c>
      <c r="AC83" s="112">
        <f t="shared" si="108"/>
        <v>0</v>
      </c>
      <c r="AD83" s="113">
        <f t="shared" si="109"/>
        <v>0</v>
      </c>
      <c r="AE83" s="111">
        <f t="shared" si="131"/>
        <v>0</v>
      </c>
      <c r="AF83" s="113">
        <f t="shared" si="110"/>
        <v>0</v>
      </c>
      <c r="AG83" s="113">
        <f t="shared" si="111"/>
        <v>0</v>
      </c>
      <c r="AH83" s="114">
        <f t="shared" si="42"/>
        <v>9.6616666666666671</v>
      </c>
      <c r="AI83" s="102" t="str">
        <f t="shared" si="112"/>
        <v>X:8</v>
      </c>
      <c r="AJ83" s="102" t="str">
        <f t="shared" si="113"/>
        <v>NV11843777</v>
      </c>
      <c r="AK83" s="102" t="str">
        <f>IF(OR(J83&lt;D83,J83&gt;F83),"",
IFERROR(INDEX('3. Đơn xin nghỉ'!$K:$K,MATCH('4. Tổng hợp dữ liệu'!AJ83,'3. Đơn xin nghỉ'!$I:$I,0),1),
IF(AND(AU83="Không CC",I83&lt;&gt;1),"Ro:8","")))</f>
        <v/>
      </c>
      <c r="AL83" s="102" t="str">
        <f t="shared" si="114"/>
        <v/>
      </c>
      <c r="AM83" s="102" t="str">
        <f t="shared" si="132"/>
        <v>X:8</v>
      </c>
      <c r="AN83" s="102" t="s">
        <v>92</v>
      </c>
      <c r="AO83" s="102"/>
      <c r="AP83" s="115">
        <f>IFERROR(VLOOKUP(AN83,'Quy đổi công'!A:D,3,0),0)</f>
        <v>1</v>
      </c>
      <c r="AQ83" s="115">
        <f>IFERROR(VLOOKUP(AN83,'Quy đổi công'!A:D,4,0),0)</f>
        <v>0</v>
      </c>
      <c r="AR83" s="115">
        <f t="shared" si="115"/>
        <v>0</v>
      </c>
      <c r="AS83" s="115">
        <f t="shared" si="133"/>
        <v>1</v>
      </c>
      <c r="AT83" s="115">
        <f t="shared" si="134"/>
        <v>0</v>
      </c>
      <c r="AU83" s="102" t="str">
        <f t="shared" si="116"/>
        <v/>
      </c>
      <c r="AV83" s="102" t="str">
        <f t="shared" si="117"/>
        <v/>
      </c>
      <c r="AW83" s="102" t="str">
        <f t="shared" si="118"/>
        <v/>
      </c>
      <c r="AX83" s="102" t="str">
        <f t="shared" si="119"/>
        <v/>
      </c>
      <c r="AY83" s="102" t="str">
        <f t="shared" si="120"/>
        <v/>
      </c>
      <c r="AZ83" s="102"/>
      <c r="BA83" s="102">
        <f>IF(AV83&lt;&gt;0,COUNTIFS($A$7:A83,A83,$AV$7:AV83,"Quên check in"))
+IF(AW83&lt;&gt;0,COUNTIFS($A$7:A83,A83,$AW$7:AW83,"Quên check in"))
+IF(AX83&lt;&gt;0,COUNTIFS($A$7:A83,A83,$AX$7:AX83,"Quên check out"))
+IF(AY83&lt;&gt;0,COUNTIFS($A$7:A83,A83,$AY$7:AY83,"Quên check out"))</f>
        <v>0</v>
      </c>
      <c r="BB83" s="143">
        <f t="shared" si="121"/>
        <v>0</v>
      </c>
    </row>
    <row r="84" spans="1:54" s="83" customFormat="1" ht="14.1" customHeight="1" x14ac:dyDescent="0.3">
      <c r="A84" s="103" t="s">
        <v>11</v>
      </c>
      <c r="B84" s="104" t="s">
        <v>20</v>
      </c>
      <c r="C84" s="105">
        <v>4700000</v>
      </c>
      <c r="D84" s="106">
        <v>43467</v>
      </c>
      <c r="E84" s="107">
        <v>43617</v>
      </c>
      <c r="F84" s="107">
        <v>73415</v>
      </c>
      <c r="G84" s="105">
        <v>26</v>
      </c>
      <c r="H84" s="105">
        <f t="shared" si="122"/>
        <v>6</v>
      </c>
      <c r="I84" s="105"/>
      <c r="J84" s="108">
        <v>43777</v>
      </c>
      <c r="K84" s="108" t="str">
        <f t="shared" si="123"/>
        <v>NV12243777VàoSáng</v>
      </c>
      <c r="L84" s="102">
        <f>IFERROR(VLOOKUP(K84,'1. Vân tay'!$F:$G,2,0),0)</f>
        <v>0</v>
      </c>
      <c r="M84" s="108" t="str">
        <f t="shared" si="124"/>
        <v>NV12243777RaSáng</v>
      </c>
      <c r="N84" s="102">
        <f>IFERROR(VLOOKUP(M84,'1. Vân tay'!$F:$G,2,0),0)</f>
        <v>0</v>
      </c>
      <c r="O84" s="108" t="str">
        <f t="shared" si="125"/>
        <v>NV12243777VàoChiều</v>
      </c>
      <c r="P84" s="102">
        <f>IFERROR(VLOOKUP(O84,'1. Vân tay'!$F:$G,2,0),0)</f>
        <v>0</v>
      </c>
      <c r="Q84" s="108" t="str">
        <f t="shared" si="126"/>
        <v>NV12243777RaChiều</v>
      </c>
      <c r="R84" s="102">
        <f>IFERROR(VLOOKUP(Q84,'1. Vân tay'!$F:$G,2,0),0)</f>
        <v>0</v>
      </c>
      <c r="S84" s="102">
        <f t="shared" si="127"/>
        <v>0</v>
      </c>
      <c r="T84" s="109">
        <v>0.33333333333333331</v>
      </c>
      <c r="U84" s="109">
        <v>0.5</v>
      </c>
      <c r="V84" s="109">
        <v>0.5625</v>
      </c>
      <c r="W84" s="109">
        <v>0.72916666666666663</v>
      </c>
      <c r="X84" s="102">
        <f>HDSD!$F$4</f>
        <v>5</v>
      </c>
      <c r="Y84" s="102">
        <f>SUMIFS('2. Đi muộn về sớm'!$K:$K,
'2. Đi muộn về sớm'!$B:$B,$A84,
'2. Đi muộn về sớm'!$D:$D,$J84)</f>
        <v>0</v>
      </c>
      <c r="Z84" s="110">
        <f t="shared" si="128"/>
        <v>0</v>
      </c>
      <c r="AA84" s="110">
        <f t="shared" si="129"/>
        <v>0</v>
      </c>
      <c r="AB84" s="111">
        <f t="shared" si="130"/>
        <v>0</v>
      </c>
      <c r="AC84" s="112">
        <f t="shared" si="108"/>
        <v>0</v>
      </c>
      <c r="AD84" s="113">
        <f t="shared" si="109"/>
        <v>0</v>
      </c>
      <c r="AE84" s="111">
        <f t="shared" si="131"/>
        <v>0</v>
      </c>
      <c r="AF84" s="113">
        <f t="shared" si="110"/>
        <v>0</v>
      </c>
      <c r="AG84" s="113">
        <f t="shared" si="111"/>
        <v>0</v>
      </c>
      <c r="AH84" s="114">
        <f t="shared" si="42"/>
        <v>0</v>
      </c>
      <c r="AI84" s="102" t="str">
        <f t="shared" si="112"/>
        <v/>
      </c>
      <c r="AJ84" s="102" t="str">
        <f t="shared" si="113"/>
        <v>NV12243777</v>
      </c>
      <c r="AK84" s="102" t="str">
        <f>IF(OR(J84&lt;D84,J84&gt;F84),"",
IFERROR(INDEX('3. Đơn xin nghỉ'!$K:$K,MATCH('4. Tổng hợp dữ liệu'!AJ84,'3. Đơn xin nghỉ'!$I:$I,0),1),
IF(AND(AU84="Không CC",I84&lt;&gt;1),"Ro:8","")))</f>
        <v>P:8</v>
      </c>
      <c r="AL84" s="102" t="str">
        <f t="shared" si="114"/>
        <v/>
      </c>
      <c r="AM84" s="102" t="str">
        <f t="shared" si="132"/>
        <v>P:8</v>
      </c>
      <c r="AN84" s="102" t="s">
        <v>82</v>
      </c>
      <c r="AO84" s="102"/>
      <c r="AP84" s="115">
        <f>IFERROR(VLOOKUP(AN84,'Quy đổi công'!A:D,3,0),0)</f>
        <v>1</v>
      </c>
      <c r="AQ84" s="115">
        <f>IFERROR(VLOOKUP(AN84,'Quy đổi công'!A:D,4,0),0)</f>
        <v>0</v>
      </c>
      <c r="AR84" s="115">
        <f t="shared" si="115"/>
        <v>0</v>
      </c>
      <c r="AS84" s="115">
        <f t="shared" si="133"/>
        <v>1</v>
      </c>
      <c r="AT84" s="115">
        <f t="shared" si="134"/>
        <v>0</v>
      </c>
      <c r="AU84" s="102" t="str">
        <f t="shared" si="116"/>
        <v>Không CC</v>
      </c>
      <c r="AV84" s="102" t="str">
        <f t="shared" si="117"/>
        <v/>
      </c>
      <c r="AW84" s="102" t="str">
        <f t="shared" si="118"/>
        <v/>
      </c>
      <c r="AX84" s="102" t="str">
        <f t="shared" si="119"/>
        <v/>
      </c>
      <c r="AY84" s="102" t="str">
        <f t="shared" si="120"/>
        <v/>
      </c>
      <c r="AZ84" s="102"/>
      <c r="BA84" s="102">
        <f>IF(AV84&lt;&gt;0,COUNTIFS($A$7:A84,A84,$AV$7:AV84,"Quên check in"))
+IF(AW84&lt;&gt;0,COUNTIFS($A$7:A84,A84,$AW$7:AW84,"Quên check in"))
+IF(AX84&lt;&gt;0,COUNTIFS($A$7:A84,A84,$AX$7:AX84,"Quên check out"))
+IF(AY84&lt;&gt;0,COUNTIFS($A$7:A84,A84,$AY$7:AY84,"Quên check out"))</f>
        <v>1</v>
      </c>
      <c r="BB84" s="143">
        <f t="shared" si="121"/>
        <v>0</v>
      </c>
    </row>
    <row r="85" spans="1:54" s="83" customFormat="1" ht="14.1" customHeight="1" x14ac:dyDescent="0.3">
      <c r="A85" s="103" t="s">
        <v>12</v>
      </c>
      <c r="B85" s="104" t="s">
        <v>21</v>
      </c>
      <c r="C85" s="105">
        <v>5000000</v>
      </c>
      <c r="D85" s="106">
        <v>43482</v>
      </c>
      <c r="E85" s="107">
        <v>43647</v>
      </c>
      <c r="F85" s="107">
        <v>73415</v>
      </c>
      <c r="G85" s="105">
        <v>26</v>
      </c>
      <c r="H85" s="105">
        <f t="shared" si="122"/>
        <v>6</v>
      </c>
      <c r="I85" s="105"/>
      <c r="J85" s="108">
        <v>43777</v>
      </c>
      <c r="K85" s="108" t="str">
        <f t="shared" si="123"/>
        <v>NV12343777VàoSáng</v>
      </c>
      <c r="L85" s="102" t="str">
        <f>IFERROR(VLOOKUP(K85,'1. Vân tay'!$F:$G,2,0),0)</f>
        <v>07:58:57</v>
      </c>
      <c r="M85" s="108" t="str">
        <f t="shared" si="124"/>
        <v>NV12343777RaSáng</v>
      </c>
      <c r="N85" s="102">
        <f>IFERROR(VLOOKUP(M85,'1. Vân tay'!$F:$G,2,0),0)</f>
        <v>0</v>
      </c>
      <c r="O85" s="108" t="str">
        <f t="shared" si="125"/>
        <v>NV12343777VàoChiều</v>
      </c>
      <c r="P85" s="102">
        <f>IFERROR(VLOOKUP(O85,'1. Vân tay'!$F:$G,2,0),0)</f>
        <v>0</v>
      </c>
      <c r="Q85" s="108" t="str">
        <f t="shared" si="126"/>
        <v>NV12343777RaChiều</v>
      </c>
      <c r="R85" s="102" t="str">
        <f>IFERROR(VLOOKUP(Q85,'1. Vân tay'!$F:$G,2,0),0)</f>
        <v>17:35:30</v>
      </c>
      <c r="S85" s="102">
        <f t="shared" si="127"/>
        <v>0</v>
      </c>
      <c r="T85" s="109">
        <v>0.33333333333333331</v>
      </c>
      <c r="U85" s="109">
        <v>0.5</v>
      </c>
      <c r="V85" s="109">
        <v>0.5625</v>
      </c>
      <c r="W85" s="109">
        <v>0.72916666666666663</v>
      </c>
      <c r="X85" s="102">
        <f>HDSD!$F$4</f>
        <v>5</v>
      </c>
      <c r="Y85" s="102">
        <f>SUMIFS('2. Đi muộn về sớm'!$K:$K,
'2. Đi muộn về sớm'!$B:$B,$A85,
'2. Đi muộn về sớm'!$D:$D,$J85)</f>
        <v>0</v>
      </c>
      <c r="Z85" s="110">
        <f t="shared" si="128"/>
        <v>0</v>
      </c>
      <c r="AA85" s="110">
        <f t="shared" si="129"/>
        <v>0</v>
      </c>
      <c r="AB85" s="111">
        <f t="shared" si="130"/>
        <v>0</v>
      </c>
      <c r="AC85" s="112">
        <f t="shared" si="108"/>
        <v>0</v>
      </c>
      <c r="AD85" s="113">
        <f t="shared" si="109"/>
        <v>0</v>
      </c>
      <c r="AE85" s="111">
        <f t="shared" si="131"/>
        <v>0</v>
      </c>
      <c r="AF85" s="113">
        <f t="shared" si="110"/>
        <v>0</v>
      </c>
      <c r="AG85" s="113">
        <f t="shared" si="111"/>
        <v>0</v>
      </c>
      <c r="AH85" s="114">
        <f t="shared" si="42"/>
        <v>9.6091666666666669</v>
      </c>
      <c r="AI85" s="102" t="str">
        <f t="shared" si="112"/>
        <v>X:8</v>
      </c>
      <c r="AJ85" s="102" t="str">
        <f t="shared" si="113"/>
        <v>NV12343777</v>
      </c>
      <c r="AK85" s="102" t="str">
        <f>IF(OR(J85&lt;D85,J85&gt;F85),"",
IFERROR(INDEX('3. Đơn xin nghỉ'!$K:$K,MATCH('4. Tổng hợp dữ liệu'!AJ85,'3. Đơn xin nghỉ'!$I:$I,0),1),
IF(AND(AU85="Không CC",I85&lt;&gt;1),"Ro:8","")))</f>
        <v/>
      </c>
      <c r="AL85" s="102" t="str">
        <f t="shared" si="114"/>
        <v/>
      </c>
      <c r="AM85" s="102" t="str">
        <f t="shared" si="132"/>
        <v>X:8</v>
      </c>
      <c r="AN85" s="102" t="s">
        <v>92</v>
      </c>
      <c r="AO85" s="102"/>
      <c r="AP85" s="115">
        <f>IFERROR(VLOOKUP(AN85,'Quy đổi công'!A:D,3,0),0)</f>
        <v>1</v>
      </c>
      <c r="AQ85" s="115">
        <f>IFERROR(VLOOKUP(AN85,'Quy đổi công'!A:D,4,0),0)</f>
        <v>0</v>
      </c>
      <c r="AR85" s="115">
        <f t="shared" si="115"/>
        <v>0</v>
      </c>
      <c r="AS85" s="115">
        <f t="shared" si="133"/>
        <v>1</v>
      </c>
      <c r="AT85" s="115">
        <f t="shared" si="134"/>
        <v>0</v>
      </c>
      <c r="AU85" s="102" t="str">
        <f t="shared" si="116"/>
        <v/>
      </c>
      <c r="AV85" s="102" t="str">
        <f t="shared" si="117"/>
        <v/>
      </c>
      <c r="AW85" s="102" t="str">
        <f t="shared" si="118"/>
        <v/>
      </c>
      <c r="AX85" s="102" t="str">
        <f t="shared" si="119"/>
        <v/>
      </c>
      <c r="AY85" s="102" t="str">
        <f t="shared" si="120"/>
        <v/>
      </c>
      <c r="AZ85" s="102"/>
      <c r="BA85" s="102">
        <f>IF(AV85&lt;&gt;0,COUNTIFS($A$7:A85,A85,$AV$7:AV85,"Quên check in"))
+IF(AW85&lt;&gt;0,COUNTIFS($A$7:A85,A85,$AW$7:AW85,"Quên check in"))
+IF(AX85&lt;&gt;0,COUNTIFS($A$7:A85,A85,$AX$7:AX85,"Quên check out"))
+IF(AY85&lt;&gt;0,COUNTIFS($A$7:A85,A85,$AY$7:AY85,"Quên check out"))</f>
        <v>0</v>
      </c>
      <c r="BB85" s="143">
        <f t="shared" si="121"/>
        <v>0</v>
      </c>
    </row>
    <row r="86" spans="1:54" s="83" customFormat="1" ht="14.1" customHeight="1" x14ac:dyDescent="0.3">
      <c r="A86" s="103" t="s">
        <v>13</v>
      </c>
      <c r="B86" s="104" t="s">
        <v>22</v>
      </c>
      <c r="C86" s="105">
        <v>4700000</v>
      </c>
      <c r="D86" s="106">
        <v>43531</v>
      </c>
      <c r="E86" s="107">
        <v>43647</v>
      </c>
      <c r="F86" s="107">
        <v>73415</v>
      </c>
      <c r="G86" s="105">
        <v>26</v>
      </c>
      <c r="H86" s="105">
        <f t="shared" si="122"/>
        <v>6</v>
      </c>
      <c r="I86" s="105"/>
      <c r="J86" s="108">
        <v>43777</v>
      </c>
      <c r="K86" s="108" t="str">
        <f t="shared" si="123"/>
        <v>NV12643777VàoSáng</v>
      </c>
      <c r="L86" s="102" t="str">
        <f>IFERROR(VLOOKUP(K86,'1. Vân tay'!$F:$G,2,0),0)</f>
        <v>07:58:44</v>
      </c>
      <c r="M86" s="108" t="str">
        <f t="shared" si="124"/>
        <v>NV12643777RaSáng</v>
      </c>
      <c r="N86" s="102">
        <f>IFERROR(VLOOKUP(M86,'1. Vân tay'!$F:$G,2,0),0)</f>
        <v>0</v>
      </c>
      <c r="O86" s="108" t="str">
        <f t="shared" si="125"/>
        <v>NV12643777VàoChiều</v>
      </c>
      <c r="P86" s="102">
        <f>IFERROR(VLOOKUP(O86,'1. Vân tay'!$F:$G,2,0),0)</f>
        <v>0</v>
      </c>
      <c r="Q86" s="108" t="str">
        <f t="shared" si="126"/>
        <v>NV12643777RaChiều</v>
      </c>
      <c r="R86" s="102" t="str">
        <f>IFERROR(VLOOKUP(Q86,'1. Vân tay'!$F:$G,2,0),0)</f>
        <v>17:34:26</v>
      </c>
      <c r="S86" s="102">
        <f t="shared" si="127"/>
        <v>0</v>
      </c>
      <c r="T86" s="109">
        <v>0.33333333333333331</v>
      </c>
      <c r="U86" s="109">
        <v>0.5</v>
      </c>
      <c r="V86" s="109">
        <v>0.5625</v>
      </c>
      <c r="W86" s="109">
        <v>0.72916666666666663</v>
      </c>
      <c r="X86" s="102">
        <f>HDSD!$F$4</f>
        <v>5</v>
      </c>
      <c r="Y86" s="102">
        <f>SUMIFS('2. Đi muộn về sớm'!$K:$K,
'2. Đi muộn về sớm'!$B:$B,$A86,
'2. Đi muộn về sớm'!$D:$D,$J86)</f>
        <v>0</v>
      </c>
      <c r="Z86" s="110">
        <f t="shared" si="128"/>
        <v>0</v>
      </c>
      <c r="AA86" s="110">
        <f t="shared" si="129"/>
        <v>0</v>
      </c>
      <c r="AB86" s="111">
        <f t="shared" si="130"/>
        <v>0</v>
      </c>
      <c r="AC86" s="112">
        <f t="shared" si="108"/>
        <v>0</v>
      </c>
      <c r="AD86" s="113">
        <f t="shared" si="109"/>
        <v>0</v>
      </c>
      <c r="AE86" s="111">
        <f t="shared" si="131"/>
        <v>0</v>
      </c>
      <c r="AF86" s="113">
        <f t="shared" si="110"/>
        <v>0</v>
      </c>
      <c r="AG86" s="113">
        <f t="shared" si="111"/>
        <v>0</v>
      </c>
      <c r="AH86" s="114">
        <f t="shared" si="42"/>
        <v>9.5950000000000006</v>
      </c>
      <c r="AI86" s="102" t="str">
        <f t="shared" si="112"/>
        <v>X:8</v>
      </c>
      <c r="AJ86" s="102" t="str">
        <f t="shared" si="113"/>
        <v>NV12643777</v>
      </c>
      <c r="AK86" s="102" t="str">
        <f>IF(OR(J86&lt;D86,J86&gt;F86),"",
IFERROR(INDEX('3. Đơn xin nghỉ'!$K:$K,MATCH('4. Tổng hợp dữ liệu'!AJ86,'3. Đơn xin nghỉ'!$I:$I,0),1),
IF(AND(AU86="Không CC",I86&lt;&gt;1),"Ro:8","")))</f>
        <v/>
      </c>
      <c r="AL86" s="102" t="str">
        <f t="shared" si="114"/>
        <v/>
      </c>
      <c r="AM86" s="102" t="str">
        <f t="shared" si="132"/>
        <v>X:8</v>
      </c>
      <c r="AN86" s="102" t="s">
        <v>92</v>
      </c>
      <c r="AO86" s="102"/>
      <c r="AP86" s="115">
        <f>IFERROR(VLOOKUP(AN86,'Quy đổi công'!A:D,3,0),0)</f>
        <v>1</v>
      </c>
      <c r="AQ86" s="115">
        <f>IFERROR(VLOOKUP(AN86,'Quy đổi công'!A:D,4,0),0)</f>
        <v>0</v>
      </c>
      <c r="AR86" s="115">
        <f t="shared" si="115"/>
        <v>0</v>
      </c>
      <c r="AS86" s="115">
        <f t="shared" si="133"/>
        <v>1</v>
      </c>
      <c r="AT86" s="115">
        <f t="shared" si="134"/>
        <v>0</v>
      </c>
      <c r="AU86" s="102" t="str">
        <f t="shared" si="116"/>
        <v/>
      </c>
      <c r="AV86" s="102" t="str">
        <f t="shared" si="117"/>
        <v/>
      </c>
      <c r="AW86" s="102" t="str">
        <f t="shared" si="118"/>
        <v/>
      </c>
      <c r="AX86" s="102" t="str">
        <f t="shared" si="119"/>
        <v/>
      </c>
      <c r="AY86" s="102" t="str">
        <f t="shared" si="120"/>
        <v/>
      </c>
      <c r="AZ86" s="102"/>
      <c r="BA86" s="102">
        <f>IF(AV86&lt;&gt;0,COUNTIFS($A$7:A86,A86,$AV$7:AV86,"Quên check in"))
+IF(AW86&lt;&gt;0,COUNTIFS($A$7:A86,A86,$AW$7:AW86,"Quên check in"))
+IF(AX86&lt;&gt;0,COUNTIFS($A$7:A86,A86,$AX$7:AX86,"Quên check out"))
+IF(AY86&lt;&gt;0,COUNTIFS($A$7:A86,A86,$AY$7:AY86,"Quên check out"))</f>
        <v>0</v>
      </c>
      <c r="BB86" s="143">
        <f t="shared" si="121"/>
        <v>0</v>
      </c>
    </row>
    <row r="87" spans="1:54" s="83" customFormat="1" ht="14.1" customHeight="1" x14ac:dyDescent="0.3">
      <c r="A87" s="103" t="s">
        <v>4</v>
      </c>
      <c r="B87" s="104" t="s">
        <v>14</v>
      </c>
      <c r="C87" s="105">
        <v>4700000</v>
      </c>
      <c r="D87" s="106">
        <v>43388</v>
      </c>
      <c r="E87" s="107">
        <v>43525</v>
      </c>
      <c r="F87" s="107">
        <v>73415</v>
      </c>
      <c r="G87" s="105">
        <v>26</v>
      </c>
      <c r="H87" s="105">
        <f t="shared" ref="H87:H96" si="135">WEEKDAY(J87,1)</f>
        <v>7</v>
      </c>
      <c r="I87" s="105"/>
      <c r="J87" s="108">
        <v>43778</v>
      </c>
      <c r="K87" s="108" t="str">
        <f t="shared" ref="K87:K96" si="136">$A87&amp;$J87&amp;"Vào"&amp;"Sáng"</f>
        <v>NV10143778VàoSáng</v>
      </c>
      <c r="L87" s="102" t="str">
        <f>IFERROR(VLOOKUP(K87,'1. Vân tay'!$F:$G,2,0),0)</f>
        <v>07:55:47</v>
      </c>
      <c r="M87" s="108" t="str">
        <f t="shared" ref="M87:M96" si="137">$A87&amp;$J87&amp;"Ra"&amp;"Sáng"</f>
        <v>NV10143778RaSáng</v>
      </c>
      <c r="N87" s="102">
        <f>IFERROR(VLOOKUP(M87,'1. Vân tay'!$F:$G,2,0),0)</f>
        <v>0</v>
      </c>
      <c r="O87" s="108" t="str">
        <f t="shared" ref="O87:O96" si="138">$A87&amp;$J87&amp;"Vào"&amp;"Chiều"</f>
        <v>NV10143778VàoChiều</v>
      </c>
      <c r="P87" s="102">
        <f>IFERROR(VLOOKUP(O87,'1. Vân tay'!$F:$G,2,0),0)</f>
        <v>0</v>
      </c>
      <c r="Q87" s="108" t="str">
        <f t="shared" ref="Q87:Q96" si="139">$A87&amp;$J87&amp;"Ra"&amp;"Chiều"</f>
        <v>NV10143778RaChiều</v>
      </c>
      <c r="R87" s="102" t="str">
        <f>IFERROR(VLOOKUP(Q87,'1. Vân tay'!$F:$G,2,0),0)</f>
        <v>17:30:34</v>
      </c>
      <c r="S87" s="102">
        <f t="shared" ref="S87:S96" si="140">IF(OR(
(AND(L87&lt;&gt;0,P87&lt;&gt;0)),
(AND(N87&lt;&gt;0,R87&lt;&gt;0))),"Kiểm tra",0)</f>
        <v>0</v>
      </c>
      <c r="T87" s="109">
        <v>0.33333333333333331</v>
      </c>
      <c r="U87" s="109">
        <v>0.5</v>
      </c>
      <c r="V87" s="109">
        <v>0.5625</v>
      </c>
      <c r="W87" s="109">
        <v>0.72916666666666663</v>
      </c>
      <c r="X87" s="102">
        <f>HDSD!$F$4</f>
        <v>5</v>
      </c>
      <c r="Y87" s="102">
        <f>SUMIFS('2. Đi muộn về sớm'!$K:$K,
'2. Đi muộn về sớm'!$B:$B,$A87,
'2. Đi muộn về sớm'!$D:$D,$J87)</f>
        <v>0</v>
      </c>
      <c r="Z87" s="110">
        <f t="shared" ref="Z87:Z96" si="141">IF(L87=0,0,IFERROR((HOUR(L87-T87)*60+MINUTE(L87-T87)+SECOND(L87-T87)/60),0))
+IF(N87=0,0, IFERROR((HOUR(U87-N87)*60+MINUTE(U87-N87)+SECOND(U87-N87)/60),0))
+IF(P87=0,0, IFERROR((HOUR(P87-V87)*60+MINUTE(P87-V87)+SECOND(P87-V87)/60),0))
+IF(R87=0,0, IFERROR((HOUR(W87-R87)*60+MINUTE(W87-R87)+SECOND(W87-R87)/60),0))</f>
        <v>0</v>
      </c>
      <c r="AA87" s="110">
        <f t="shared" ref="AA87:AA96" si="142">IF(L87=0,0,IFERROR((HOUR(L87-"09:00:00")*60+MINUTE(L87-"09:00:00")+SECOND(L87-"09:00:00")/60),0))
+IF(N87=0,0, IFERROR((HOUR(U87-N87)*60+MINUTE(U87-N87)+SECOND(U87-N87)/60),0))
+IF(P87=0,0, IFERROR((HOUR(P87-V87)*60+MINUTE(P87-V87)+SECOND(P87-V87)/60),0))
+IF(R87=0,0, IFERROR((HOUR("16:30:00"-R87)*60+MINUTE("16:30:00"-R87)+SECOND("16:30:00"-R87)/60),0))</f>
        <v>0</v>
      </c>
      <c r="AB87" s="111">
        <f t="shared" ref="AB87:AB96" si="143">Z87-AA87</f>
        <v>0</v>
      </c>
      <c r="AC87" s="112">
        <f t="shared" si="108"/>
        <v>0</v>
      </c>
      <c r="AD87" s="113">
        <f t="shared" si="109"/>
        <v>0</v>
      </c>
      <c r="AE87" s="111">
        <f t="shared" ref="AE87:AE96" si="144">AA87/60/8</f>
        <v>0</v>
      </c>
      <c r="AF87" s="113">
        <f t="shared" si="110"/>
        <v>0</v>
      </c>
      <c r="AG87" s="113">
        <f t="shared" si="111"/>
        <v>0</v>
      </c>
      <c r="AH87" s="114">
        <f t="shared" si="42"/>
        <v>9.5797222222222214</v>
      </c>
      <c r="AI87" s="102" t="str">
        <f t="shared" si="112"/>
        <v>X:8</v>
      </c>
      <c r="AJ87" s="102" t="str">
        <f t="shared" si="113"/>
        <v>NV10143778</v>
      </c>
      <c r="AK87" s="102" t="str">
        <f>IF(OR(J87&lt;D87,J87&gt;F87),"",
IFERROR(INDEX('3. Đơn xin nghỉ'!$K:$K,MATCH('4. Tổng hợp dữ liệu'!AJ87,'3. Đơn xin nghỉ'!$I:$I,0),1),
IF(AND(AU87="Không CC",I87&lt;&gt;1),"Ro:8","")))</f>
        <v/>
      </c>
      <c r="AL87" s="102" t="str">
        <f t="shared" si="114"/>
        <v/>
      </c>
      <c r="AM87" s="102" t="str">
        <f t="shared" ref="AM87:AM96" si="145">IF(OR(AI87="",AK87=""),AI87&amp;AK87,AI87&amp;","&amp;AK87)&amp;AL87</f>
        <v>X:8</v>
      </c>
      <c r="AN87" s="102" t="s">
        <v>92</v>
      </c>
      <c r="AO87" s="102"/>
      <c r="AP87" s="115">
        <f>IFERROR(VLOOKUP(AN87,'Quy đổi công'!A:D,3,0),0)</f>
        <v>1</v>
      </c>
      <c r="AQ87" s="115">
        <f>IFERROR(VLOOKUP(AN87,'Quy đổi công'!A:D,4,0),0)</f>
        <v>0</v>
      </c>
      <c r="AR87" s="115">
        <f t="shared" si="115"/>
        <v>0</v>
      </c>
      <c r="AS87" s="115">
        <f t="shared" ref="AS87:AS96" si="146">AP87-AR87</f>
        <v>1</v>
      </c>
      <c r="AT87" s="115">
        <f t="shared" ref="AT87:AT96" si="147">IF(AN87="P8",1)
+IF(OR(AN87="X:4,P:4",AN87="P:4,Rv:4",AN87="P:4,Ro:4"),1/2)</f>
        <v>0</v>
      </c>
      <c r="AU87" s="102" t="str">
        <f t="shared" si="116"/>
        <v/>
      </c>
      <c r="AV87" s="102" t="str">
        <f t="shared" si="117"/>
        <v/>
      </c>
      <c r="AW87" s="102" t="str">
        <f t="shared" si="118"/>
        <v/>
      </c>
      <c r="AX87" s="102" t="str">
        <f t="shared" si="119"/>
        <v/>
      </c>
      <c r="AY87" s="102" t="str">
        <f t="shared" si="120"/>
        <v/>
      </c>
      <c r="AZ87" s="102"/>
      <c r="BA87" s="102">
        <f>IF(AV87&lt;&gt;0,COUNTIFS($A$7:A87,A87,$AV$7:AV87,"Quên check in"))
+IF(AW87&lt;&gt;0,COUNTIFS($A$7:A87,A87,$AW$7:AW87,"Quên check in"))
+IF(AX87&lt;&gt;0,COUNTIFS($A$7:A87,A87,$AX$7:AX87,"Quên check out"))
+IF(AY87&lt;&gt;0,COUNTIFS($A$7:A87,A87,$AY$7:AY87,"Quên check out"))</f>
        <v>0</v>
      </c>
      <c r="BB87" s="143">
        <f t="shared" si="121"/>
        <v>0</v>
      </c>
    </row>
    <row r="88" spans="1:54" s="83" customFormat="1" ht="14.1" customHeight="1" x14ac:dyDescent="0.3">
      <c r="A88" s="103" t="s">
        <v>5</v>
      </c>
      <c r="B88" s="104" t="s">
        <v>28</v>
      </c>
      <c r="C88" s="105">
        <v>10000000</v>
      </c>
      <c r="D88" s="106">
        <v>43409</v>
      </c>
      <c r="E88" s="107">
        <v>43678</v>
      </c>
      <c r="F88" s="107">
        <v>73415</v>
      </c>
      <c r="G88" s="105">
        <v>26</v>
      </c>
      <c r="H88" s="105">
        <f t="shared" si="135"/>
        <v>7</v>
      </c>
      <c r="I88" s="105"/>
      <c r="J88" s="108">
        <v>43778</v>
      </c>
      <c r="K88" s="108" t="str">
        <f t="shared" si="136"/>
        <v>NV10743778VàoSáng</v>
      </c>
      <c r="L88" s="102" t="str">
        <f>IFERROR(VLOOKUP(K88,'1. Vân tay'!$F:$G,2,0),0)</f>
        <v>07:59:13</v>
      </c>
      <c r="M88" s="108" t="str">
        <f t="shared" si="137"/>
        <v>NV10743778RaSáng</v>
      </c>
      <c r="N88" s="102">
        <f>IFERROR(VLOOKUP(M88,'1. Vân tay'!$F:$G,2,0),0)</f>
        <v>0</v>
      </c>
      <c r="O88" s="108" t="str">
        <f t="shared" si="138"/>
        <v>NV10743778VàoChiều</v>
      </c>
      <c r="P88" s="102">
        <f>IFERROR(VLOOKUP(O88,'1. Vân tay'!$F:$G,2,0),0)</f>
        <v>0</v>
      </c>
      <c r="Q88" s="108" t="str">
        <f t="shared" si="139"/>
        <v>NV10743778RaChiều</v>
      </c>
      <c r="R88" s="102">
        <f>IFERROR(VLOOKUP(Q88,'1. Vân tay'!$F:$G,2,0),0)</f>
        <v>0</v>
      </c>
      <c r="S88" s="102">
        <f t="shared" si="140"/>
        <v>0</v>
      </c>
      <c r="T88" s="109">
        <v>0.33333333333333331</v>
      </c>
      <c r="U88" s="109">
        <v>0.5</v>
      </c>
      <c r="V88" s="109">
        <v>0.5625</v>
      </c>
      <c r="W88" s="109">
        <v>0.72916666666666663</v>
      </c>
      <c r="X88" s="102">
        <f>HDSD!$F$4</f>
        <v>5</v>
      </c>
      <c r="Y88" s="102">
        <f>SUMIFS('2. Đi muộn về sớm'!$K:$K,
'2. Đi muộn về sớm'!$B:$B,$A88,
'2. Đi muộn về sớm'!$D:$D,$J88)</f>
        <v>0</v>
      </c>
      <c r="Z88" s="110">
        <f t="shared" si="141"/>
        <v>0</v>
      </c>
      <c r="AA88" s="110">
        <f t="shared" si="142"/>
        <v>0</v>
      </c>
      <c r="AB88" s="111">
        <f t="shared" si="143"/>
        <v>0</v>
      </c>
      <c r="AC88" s="112">
        <f t="shared" si="108"/>
        <v>0</v>
      </c>
      <c r="AD88" s="113">
        <f t="shared" si="109"/>
        <v>0</v>
      </c>
      <c r="AE88" s="111">
        <f t="shared" si="144"/>
        <v>0</v>
      </c>
      <c r="AF88" s="113">
        <f t="shared" si="110"/>
        <v>0</v>
      </c>
      <c r="AG88" s="113">
        <f t="shared" si="111"/>
        <v>0</v>
      </c>
      <c r="AH88" s="114">
        <f t="shared" si="42"/>
        <v>4.0130555555555558</v>
      </c>
      <c r="AI88" s="102" t="str">
        <f t="shared" si="112"/>
        <v>X:4</v>
      </c>
      <c r="AJ88" s="102" t="str">
        <f t="shared" si="113"/>
        <v>NV10743778</v>
      </c>
      <c r="AK88" s="102" t="str">
        <f>IF(OR(J88&lt;D88,J88&gt;F88),"",
IFERROR(INDEX('3. Đơn xin nghỉ'!$K:$K,MATCH('4. Tổng hợp dữ liệu'!AJ88,'3. Đơn xin nghỉ'!$I:$I,0),1),
IF(AND(AU88="Không CC",I88&lt;&gt;1),"Ro:8","")))</f>
        <v>P:4</v>
      </c>
      <c r="AL88" s="102" t="str">
        <f t="shared" si="114"/>
        <v/>
      </c>
      <c r="AM88" s="102" t="str">
        <f t="shared" si="145"/>
        <v>X:4,P:4</v>
      </c>
      <c r="AN88" s="102" t="s">
        <v>137</v>
      </c>
      <c r="AO88" s="102"/>
      <c r="AP88" s="115">
        <f>IFERROR(VLOOKUP(AN88,'Quy đổi công'!A:D,3,0),0)</f>
        <v>1</v>
      </c>
      <c r="AQ88" s="115">
        <f>IFERROR(VLOOKUP(AN88,'Quy đổi công'!A:D,4,0),0)</f>
        <v>0</v>
      </c>
      <c r="AR88" s="115">
        <f t="shared" si="115"/>
        <v>0</v>
      </c>
      <c r="AS88" s="115">
        <f t="shared" si="146"/>
        <v>1</v>
      </c>
      <c r="AT88" s="115">
        <f t="shared" si="147"/>
        <v>0.5</v>
      </c>
      <c r="AU88" s="102" t="str">
        <f t="shared" si="116"/>
        <v/>
      </c>
      <c r="AV88" s="102" t="str">
        <f t="shared" si="117"/>
        <v/>
      </c>
      <c r="AW88" s="102" t="str">
        <f t="shared" si="118"/>
        <v/>
      </c>
      <c r="AX88" s="102" t="str">
        <f t="shared" si="119"/>
        <v>Quên check out</v>
      </c>
      <c r="AY88" s="102" t="str">
        <f t="shared" si="120"/>
        <v/>
      </c>
      <c r="AZ88" s="102" t="s">
        <v>230</v>
      </c>
      <c r="BA88" s="102">
        <f>IF(AV88&lt;&gt;0,COUNTIFS($A$7:A88,A88,$AV$7:AV88,"Quên check in"))
+IF(AW88&lt;&gt;0,COUNTIFS($A$7:A88,A88,$AW$7:AW88,"Quên check in"))
+IF(AX88&lt;&gt;0,COUNTIFS($A$7:A88,A88,$AX$7:AX88,"Quên check out"))
+IF(AY88&lt;&gt;0,COUNTIFS($A$7:A88,A88,$AY$7:AY88,"Quên check out"))</f>
        <v>1</v>
      </c>
      <c r="BB88" s="143">
        <f t="shared" si="121"/>
        <v>0</v>
      </c>
    </row>
    <row r="89" spans="1:54" s="83" customFormat="1" ht="14.1" customHeight="1" x14ac:dyDescent="0.3">
      <c r="A89" s="103" t="s">
        <v>6</v>
      </c>
      <c r="B89" s="104" t="s">
        <v>15</v>
      </c>
      <c r="C89" s="105">
        <v>4700000</v>
      </c>
      <c r="D89" s="106">
        <v>43409</v>
      </c>
      <c r="E89" s="107">
        <v>43617</v>
      </c>
      <c r="F89" s="107">
        <v>73415</v>
      </c>
      <c r="G89" s="105">
        <v>26</v>
      </c>
      <c r="H89" s="105">
        <f t="shared" si="135"/>
        <v>7</v>
      </c>
      <c r="I89" s="105"/>
      <c r="J89" s="108">
        <v>43778</v>
      </c>
      <c r="K89" s="108" t="str">
        <f t="shared" si="136"/>
        <v>NV10843778VàoSáng</v>
      </c>
      <c r="L89" s="102" t="str">
        <f>IFERROR(VLOOKUP(K89,'1. Vân tay'!$F:$G,2,0),0)</f>
        <v>07:58:40</v>
      </c>
      <c r="M89" s="108" t="str">
        <f t="shared" si="137"/>
        <v>NV10843778RaSáng</v>
      </c>
      <c r="N89" s="102">
        <f>IFERROR(VLOOKUP(M89,'1. Vân tay'!$F:$G,2,0),0)</f>
        <v>0</v>
      </c>
      <c r="O89" s="108" t="str">
        <f t="shared" si="138"/>
        <v>NV10843778VàoChiều</v>
      </c>
      <c r="P89" s="102">
        <f>IFERROR(VLOOKUP(O89,'1. Vân tay'!$F:$G,2,0),0)</f>
        <v>0</v>
      </c>
      <c r="Q89" s="108" t="str">
        <f t="shared" si="139"/>
        <v>NV10843778RaChiều</v>
      </c>
      <c r="R89" s="102" t="str">
        <f>IFERROR(VLOOKUP(Q89,'1. Vân tay'!$F:$G,2,0),0)</f>
        <v>17:35:05</v>
      </c>
      <c r="S89" s="102">
        <f t="shared" si="140"/>
        <v>0</v>
      </c>
      <c r="T89" s="109">
        <v>0.33333333333333331</v>
      </c>
      <c r="U89" s="109">
        <v>0.5</v>
      </c>
      <c r="V89" s="109">
        <v>0.5625</v>
      </c>
      <c r="W89" s="109">
        <v>0.72916666666666663</v>
      </c>
      <c r="X89" s="102">
        <f>HDSD!$F$4</f>
        <v>5</v>
      </c>
      <c r="Y89" s="102">
        <f>SUMIFS('2. Đi muộn về sớm'!$K:$K,
'2. Đi muộn về sớm'!$B:$B,$A89,
'2. Đi muộn về sớm'!$D:$D,$J89)</f>
        <v>0</v>
      </c>
      <c r="Z89" s="110">
        <f t="shared" si="141"/>
        <v>0</v>
      </c>
      <c r="AA89" s="110">
        <f t="shared" si="142"/>
        <v>0</v>
      </c>
      <c r="AB89" s="111">
        <f t="shared" si="143"/>
        <v>0</v>
      </c>
      <c r="AC89" s="112">
        <f t="shared" si="108"/>
        <v>0</v>
      </c>
      <c r="AD89" s="113">
        <f t="shared" si="109"/>
        <v>0</v>
      </c>
      <c r="AE89" s="111">
        <f t="shared" si="144"/>
        <v>0</v>
      </c>
      <c r="AF89" s="113">
        <f t="shared" si="110"/>
        <v>0</v>
      </c>
      <c r="AG89" s="113">
        <f t="shared" si="111"/>
        <v>0</v>
      </c>
      <c r="AH89" s="114">
        <f t="shared" ref="AH89:AH152" si="148">IF(AND(AV89="Quên check in",AZ89="Đồng ý"),IFERROR(HOUR(N89-T89+R89-P89)+MINUTE(N89-T89+R89-P89)/60+SECOND(N89-T89+R89-P89)/3600,0),
IF(AND(AW89="Quên check in",AZ89="Đồng ý"),IFERROR(HOUR(N89-L89+R89-V89)+MINUTE(N89-L89+R89-V89)/60+SECOND(N89-L89+R89-V89)/3600,0),
IF(AND(AX89="Quên check out",AZ89="Đồng ý"),IFERROR(HOUR(U89-L89+R89-P89)+MINUTE(U89-L89+R89-P89)/60+SECOND(U89-L89+R89-P89)/3600,0),
IF(AND(AY89="Quên check out",AZ89="Đồng ý"),IFERROR(HOUR(N89-L89+W89-P89)+MINUTE(N89-L89+W89-P89)/60+SECOND(N89-L89+W89-P89)/3600,0),
IF(AND(LEN(AV89&amp;AW89&amp;AX89&amp;AY89)&gt;0,LEN(AV89&amp;AW89&amp;AX89&amp;AY89)&lt;15),4,
IF(LEN(AV89&amp;AW89&amp;AX89&amp;AY89)&gt;15,0,
IFERROR(HOUR(N89-L89+R89-P89)+MINUTE(N89-L89+R89-P89)/60+SECOND(N89-L89+R89-P89)/3600,0)))))))</f>
        <v>9.6069444444444443</v>
      </c>
      <c r="AI89" s="102" t="str">
        <f t="shared" si="112"/>
        <v>X:8</v>
      </c>
      <c r="AJ89" s="102" t="str">
        <f t="shared" si="113"/>
        <v>NV10843778</v>
      </c>
      <c r="AK89" s="102" t="str">
        <f>IF(OR(J89&lt;D89,J89&gt;F89),"",
IFERROR(INDEX('3. Đơn xin nghỉ'!$K:$K,MATCH('4. Tổng hợp dữ liệu'!AJ89,'3. Đơn xin nghỉ'!$I:$I,0),1),
IF(AND(AU89="Không CC",I89&lt;&gt;1),"Ro:8","")))</f>
        <v/>
      </c>
      <c r="AL89" s="102" t="str">
        <f t="shared" si="114"/>
        <v/>
      </c>
      <c r="AM89" s="102" t="str">
        <f t="shared" si="145"/>
        <v>X:8</v>
      </c>
      <c r="AN89" s="102" t="s">
        <v>92</v>
      </c>
      <c r="AO89" s="102"/>
      <c r="AP89" s="115">
        <f>IFERROR(VLOOKUP(AN89,'Quy đổi công'!A:D,3,0),0)</f>
        <v>1</v>
      </c>
      <c r="AQ89" s="115">
        <f>IFERROR(VLOOKUP(AN89,'Quy đổi công'!A:D,4,0),0)</f>
        <v>0</v>
      </c>
      <c r="AR89" s="115">
        <f t="shared" si="115"/>
        <v>0</v>
      </c>
      <c r="AS89" s="115">
        <f t="shared" si="146"/>
        <v>1</v>
      </c>
      <c r="AT89" s="115">
        <f t="shared" si="147"/>
        <v>0</v>
      </c>
      <c r="AU89" s="102" t="str">
        <f t="shared" si="116"/>
        <v/>
      </c>
      <c r="AV89" s="102" t="str">
        <f t="shared" si="117"/>
        <v/>
      </c>
      <c r="AW89" s="102" t="str">
        <f t="shared" si="118"/>
        <v/>
      </c>
      <c r="AX89" s="102" t="str">
        <f t="shared" si="119"/>
        <v/>
      </c>
      <c r="AY89" s="102" t="str">
        <f t="shared" si="120"/>
        <v/>
      </c>
      <c r="AZ89" s="102"/>
      <c r="BA89" s="102">
        <f>IF(AV89&lt;&gt;0,COUNTIFS($A$7:A89,A89,$AV$7:AV89,"Quên check in"))
+IF(AW89&lt;&gt;0,COUNTIFS($A$7:A89,A89,$AW$7:AW89,"Quên check in"))
+IF(AX89&lt;&gt;0,COUNTIFS($A$7:A89,A89,$AX$7:AX89,"Quên check out"))
+IF(AY89&lt;&gt;0,COUNTIFS($A$7:A89,A89,$AY$7:AY89,"Quên check out"))</f>
        <v>0</v>
      </c>
      <c r="BB89" s="143">
        <f t="shared" si="121"/>
        <v>0</v>
      </c>
    </row>
    <row r="90" spans="1:54" s="83" customFormat="1" ht="14.1" customHeight="1" x14ac:dyDescent="0.3">
      <c r="A90" s="103" t="s">
        <v>7</v>
      </c>
      <c r="B90" s="104" t="s">
        <v>16</v>
      </c>
      <c r="C90" s="105">
        <v>5000000</v>
      </c>
      <c r="D90" s="106">
        <v>43416</v>
      </c>
      <c r="E90" s="107">
        <v>43617</v>
      </c>
      <c r="F90" s="107">
        <v>73415</v>
      </c>
      <c r="G90" s="105">
        <v>26</v>
      </c>
      <c r="H90" s="105">
        <f t="shared" si="135"/>
        <v>7</v>
      </c>
      <c r="I90" s="105"/>
      <c r="J90" s="108">
        <v>43778</v>
      </c>
      <c r="K90" s="108" t="str">
        <f t="shared" si="136"/>
        <v>NV10943778VàoSáng</v>
      </c>
      <c r="L90" s="102" t="str">
        <f>IFERROR(VLOOKUP(K90,'1. Vân tay'!$F:$G,2,0),0)</f>
        <v>07:43:23</v>
      </c>
      <c r="M90" s="108" t="str">
        <f t="shared" si="137"/>
        <v>NV10943778RaSáng</v>
      </c>
      <c r="N90" s="102">
        <f>IFERROR(VLOOKUP(M90,'1. Vân tay'!$F:$G,2,0),0)</f>
        <v>0</v>
      </c>
      <c r="O90" s="108" t="str">
        <f t="shared" si="138"/>
        <v>NV10943778VàoChiều</v>
      </c>
      <c r="P90" s="102">
        <f>IFERROR(VLOOKUP(O90,'1. Vân tay'!$F:$G,2,0),0)</f>
        <v>0</v>
      </c>
      <c r="Q90" s="108" t="str">
        <f t="shared" si="139"/>
        <v>NV10943778RaChiều</v>
      </c>
      <c r="R90" s="102" t="str">
        <f>IFERROR(VLOOKUP(Q90,'1. Vân tay'!$F:$G,2,0),0)</f>
        <v>17:34:34</v>
      </c>
      <c r="S90" s="102">
        <f t="shared" si="140"/>
        <v>0</v>
      </c>
      <c r="T90" s="109">
        <v>0.33333333333333331</v>
      </c>
      <c r="U90" s="109">
        <v>0.5</v>
      </c>
      <c r="V90" s="109">
        <v>0.5625</v>
      </c>
      <c r="W90" s="109">
        <v>0.72916666666666663</v>
      </c>
      <c r="X90" s="102">
        <f>HDSD!$F$4</f>
        <v>5</v>
      </c>
      <c r="Y90" s="102">
        <f>SUMIFS('2. Đi muộn về sớm'!$K:$K,
'2. Đi muộn về sớm'!$B:$B,$A90,
'2. Đi muộn về sớm'!$D:$D,$J90)</f>
        <v>0</v>
      </c>
      <c r="Z90" s="110">
        <f t="shared" si="141"/>
        <v>0</v>
      </c>
      <c r="AA90" s="110">
        <f t="shared" si="142"/>
        <v>0</v>
      </c>
      <c r="AB90" s="111">
        <f t="shared" si="143"/>
        <v>0</v>
      </c>
      <c r="AC90" s="112">
        <f t="shared" si="108"/>
        <v>0</v>
      </c>
      <c r="AD90" s="113">
        <f t="shared" si="109"/>
        <v>0</v>
      </c>
      <c r="AE90" s="111">
        <f t="shared" si="144"/>
        <v>0</v>
      </c>
      <c r="AF90" s="113">
        <f t="shared" si="110"/>
        <v>0</v>
      </c>
      <c r="AG90" s="113">
        <f t="shared" si="111"/>
        <v>0</v>
      </c>
      <c r="AH90" s="114">
        <f t="shared" si="148"/>
        <v>9.8530555555555548</v>
      </c>
      <c r="AI90" s="102" t="str">
        <f t="shared" si="112"/>
        <v>X:8</v>
      </c>
      <c r="AJ90" s="102" t="str">
        <f t="shared" si="113"/>
        <v>NV10943778</v>
      </c>
      <c r="AK90" s="102" t="str">
        <f>IF(OR(J90&lt;D90,J90&gt;F90),"",
IFERROR(INDEX('3. Đơn xin nghỉ'!$K:$K,MATCH('4. Tổng hợp dữ liệu'!AJ90,'3. Đơn xin nghỉ'!$I:$I,0),1),
IF(AND(AU90="Không CC",I90&lt;&gt;1),"Ro:8","")))</f>
        <v/>
      </c>
      <c r="AL90" s="102" t="str">
        <f t="shared" si="114"/>
        <v/>
      </c>
      <c r="AM90" s="102" t="str">
        <f t="shared" si="145"/>
        <v>X:8</v>
      </c>
      <c r="AN90" s="102" t="s">
        <v>92</v>
      </c>
      <c r="AO90" s="102"/>
      <c r="AP90" s="115">
        <f>IFERROR(VLOOKUP(AN90,'Quy đổi công'!A:D,3,0),0)</f>
        <v>1</v>
      </c>
      <c r="AQ90" s="115">
        <f>IFERROR(VLOOKUP(AN90,'Quy đổi công'!A:D,4,0),0)</f>
        <v>0</v>
      </c>
      <c r="AR90" s="115">
        <f t="shared" si="115"/>
        <v>0</v>
      </c>
      <c r="AS90" s="115">
        <f t="shared" si="146"/>
        <v>1</v>
      </c>
      <c r="AT90" s="115">
        <f t="shared" si="147"/>
        <v>0</v>
      </c>
      <c r="AU90" s="102" t="str">
        <f t="shared" si="116"/>
        <v/>
      </c>
      <c r="AV90" s="102" t="str">
        <f t="shared" si="117"/>
        <v/>
      </c>
      <c r="AW90" s="102" t="str">
        <f t="shared" si="118"/>
        <v/>
      </c>
      <c r="AX90" s="102" t="str">
        <f t="shared" si="119"/>
        <v/>
      </c>
      <c r="AY90" s="102" t="str">
        <f t="shared" si="120"/>
        <v/>
      </c>
      <c r="AZ90" s="102"/>
      <c r="BA90" s="102">
        <f>IF(AV90&lt;&gt;0,COUNTIFS($A$7:A90,A90,$AV$7:AV90,"Quên check in"))
+IF(AW90&lt;&gt;0,COUNTIFS($A$7:A90,A90,$AW$7:AW90,"Quên check in"))
+IF(AX90&lt;&gt;0,COUNTIFS($A$7:A90,A90,$AX$7:AX90,"Quên check out"))
+IF(AY90&lt;&gt;0,COUNTIFS($A$7:A90,A90,$AY$7:AY90,"Quên check out"))</f>
        <v>0</v>
      </c>
      <c r="BB90" s="143">
        <f t="shared" si="121"/>
        <v>0</v>
      </c>
    </row>
    <row r="91" spans="1:54" s="83" customFormat="1" ht="14.1" customHeight="1" x14ac:dyDescent="0.3">
      <c r="A91" s="103" t="s">
        <v>8</v>
      </c>
      <c r="B91" s="104" t="s">
        <v>17</v>
      </c>
      <c r="C91" s="105">
        <v>5000000</v>
      </c>
      <c r="D91" s="106">
        <v>43423</v>
      </c>
      <c r="E91" s="107">
        <v>43617</v>
      </c>
      <c r="F91" s="107">
        <v>73415</v>
      </c>
      <c r="G91" s="105">
        <v>26</v>
      </c>
      <c r="H91" s="105">
        <f t="shared" si="135"/>
        <v>7</v>
      </c>
      <c r="I91" s="105"/>
      <c r="J91" s="108">
        <v>43778</v>
      </c>
      <c r="K91" s="108" t="str">
        <f t="shared" si="136"/>
        <v>NV11343778VàoSáng</v>
      </c>
      <c r="L91" s="102" t="str">
        <f>IFERROR(VLOOKUP(K91,'1. Vân tay'!$F:$G,2,0),0)</f>
        <v>07:58:58</v>
      </c>
      <c r="M91" s="108" t="str">
        <f t="shared" si="137"/>
        <v>NV11343778RaSáng</v>
      </c>
      <c r="N91" s="102">
        <f>IFERROR(VLOOKUP(M91,'1. Vân tay'!$F:$G,2,0),0)</f>
        <v>0</v>
      </c>
      <c r="O91" s="108" t="str">
        <f t="shared" si="138"/>
        <v>NV11343778VàoChiều</v>
      </c>
      <c r="P91" s="102">
        <f>IFERROR(VLOOKUP(O91,'1. Vân tay'!$F:$G,2,0),0)</f>
        <v>0</v>
      </c>
      <c r="Q91" s="108" t="str">
        <f t="shared" si="139"/>
        <v>NV11343778RaChiều</v>
      </c>
      <c r="R91" s="102" t="str">
        <f>IFERROR(VLOOKUP(Q91,'1. Vân tay'!$F:$G,2,0),0)</f>
        <v>17:34:57</v>
      </c>
      <c r="S91" s="102">
        <f t="shared" si="140"/>
        <v>0</v>
      </c>
      <c r="T91" s="109">
        <v>0.33333333333333331</v>
      </c>
      <c r="U91" s="109">
        <v>0.5</v>
      </c>
      <c r="V91" s="109">
        <v>0.5625</v>
      </c>
      <c r="W91" s="109">
        <v>0.72916666666666663</v>
      </c>
      <c r="X91" s="102">
        <f>HDSD!$F$4</f>
        <v>5</v>
      </c>
      <c r="Y91" s="102">
        <f>SUMIFS('2. Đi muộn về sớm'!$K:$K,
'2. Đi muộn về sớm'!$B:$B,$A91,
'2. Đi muộn về sớm'!$D:$D,$J91)</f>
        <v>0</v>
      </c>
      <c r="Z91" s="110">
        <f t="shared" si="141"/>
        <v>0</v>
      </c>
      <c r="AA91" s="110">
        <f t="shared" si="142"/>
        <v>0</v>
      </c>
      <c r="AB91" s="111">
        <f t="shared" si="143"/>
        <v>0</v>
      </c>
      <c r="AC91" s="112">
        <f t="shared" si="108"/>
        <v>0</v>
      </c>
      <c r="AD91" s="113">
        <f t="shared" si="109"/>
        <v>0</v>
      </c>
      <c r="AE91" s="111">
        <f t="shared" si="144"/>
        <v>0</v>
      </c>
      <c r="AF91" s="113">
        <f t="shared" si="110"/>
        <v>0</v>
      </c>
      <c r="AG91" s="113">
        <f t="shared" si="111"/>
        <v>0</v>
      </c>
      <c r="AH91" s="114">
        <f t="shared" si="148"/>
        <v>9.5997222222222227</v>
      </c>
      <c r="AI91" s="102" t="str">
        <f t="shared" si="112"/>
        <v>X:8</v>
      </c>
      <c r="AJ91" s="102" t="str">
        <f t="shared" si="113"/>
        <v>NV11343778</v>
      </c>
      <c r="AK91" s="102" t="str">
        <f>IF(OR(J91&lt;D91,J91&gt;F91),"",
IFERROR(INDEX('3. Đơn xin nghỉ'!$K:$K,MATCH('4. Tổng hợp dữ liệu'!AJ91,'3. Đơn xin nghỉ'!$I:$I,0),1),
IF(AND(AU91="Không CC",I91&lt;&gt;1),"Ro:8","")))</f>
        <v/>
      </c>
      <c r="AL91" s="102" t="str">
        <f t="shared" si="114"/>
        <v/>
      </c>
      <c r="AM91" s="102" t="str">
        <f t="shared" si="145"/>
        <v>X:8</v>
      </c>
      <c r="AN91" s="102" t="s">
        <v>92</v>
      </c>
      <c r="AO91" s="102"/>
      <c r="AP91" s="115">
        <f>IFERROR(VLOOKUP(AN91,'Quy đổi công'!A:D,3,0),0)</f>
        <v>1</v>
      </c>
      <c r="AQ91" s="115">
        <f>IFERROR(VLOOKUP(AN91,'Quy đổi công'!A:D,4,0),0)</f>
        <v>0</v>
      </c>
      <c r="AR91" s="115">
        <f t="shared" si="115"/>
        <v>0</v>
      </c>
      <c r="AS91" s="115">
        <f t="shared" si="146"/>
        <v>1</v>
      </c>
      <c r="AT91" s="115">
        <f t="shared" si="147"/>
        <v>0</v>
      </c>
      <c r="AU91" s="102" t="str">
        <f t="shared" si="116"/>
        <v/>
      </c>
      <c r="AV91" s="102" t="str">
        <f t="shared" si="117"/>
        <v/>
      </c>
      <c r="AW91" s="102" t="str">
        <f t="shared" si="118"/>
        <v/>
      </c>
      <c r="AX91" s="102" t="str">
        <f t="shared" si="119"/>
        <v/>
      </c>
      <c r="AY91" s="102" t="str">
        <f t="shared" si="120"/>
        <v/>
      </c>
      <c r="AZ91" s="102"/>
      <c r="BA91" s="102">
        <f>IF(AV91&lt;&gt;0,COUNTIFS($A$7:A91,A91,$AV$7:AV91,"Quên check in"))
+IF(AW91&lt;&gt;0,COUNTIFS($A$7:A91,A91,$AW$7:AW91,"Quên check in"))
+IF(AX91&lt;&gt;0,COUNTIFS($A$7:A91,A91,$AX$7:AX91,"Quên check out"))
+IF(AY91&lt;&gt;0,COUNTIFS($A$7:A91,A91,$AY$7:AY91,"Quên check out"))</f>
        <v>1</v>
      </c>
      <c r="BB91" s="143">
        <f t="shared" si="121"/>
        <v>0</v>
      </c>
    </row>
    <row r="92" spans="1:54" s="83" customFormat="1" ht="14.1" customHeight="1" x14ac:dyDescent="0.3">
      <c r="A92" s="103" t="s">
        <v>9</v>
      </c>
      <c r="B92" s="104" t="s">
        <v>18</v>
      </c>
      <c r="C92" s="105">
        <v>4900000</v>
      </c>
      <c r="D92" s="106">
        <v>43437</v>
      </c>
      <c r="E92" s="107">
        <v>43617</v>
      </c>
      <c r="F92" s="107">
        <v>73415</v>
      </c>
      <c r="G92" s="105">
        <v>26</v>
      </c>
      <c r="H92" s="105">
        <f t="shared" si="135"/>
        <v>7</v>
      </c>
      <c r="I92" s="105"/>
      <c r="J92" s="108">
        <v>43778</v>
      </c>
      <c r="K92" s="108" t="str">
        <f t="shared" si="136"/>
        <v>NV11443778VàoSáng</v>
      </c>
      <c r="L92" s="102" t="str">
        <f>IFERROR(VLOOKUP(K92,'1. Vân tay'!$F:$G,2,0),0)</f>
        <v>08:02:11</v>
      </c>
      <c r="M92" s="108" t="str">
        <f t="shared" si="137"/>
        <v>NV11443778RaSáng</v>
      </c>
      <c r="N92" s="102">
        <f>IFERROR(VLOOKUP(M92,'1. Vân tay'!$F:$G,2,0),0)</f>
        <v>0</v>
      </c>
      <c r="O92" s="108" t="str">
        <f t="shared" si="138"/>
        <v>NV11443778VàoChiều</v>
      </c>
      <c r="P92" s="102">
        <f>IFERROR(VLOOKUP(O92,'1. Vân tay'!$F:$G,2,0),0)</f>
        <v>0</v>
      </c>
      <c r="Q92" s="108" t="str">
        <f t="shared" si="139"/>
        <v>NV11443778RaChiều</v>
      </c>
      <c r="R92" s="102">
        <f>IFERROR(VLOOKUP(Q92,'1. Vân tay'!$F:$G,2,0),0)</f>
        <v>0</v>
      </c>
      <c r="S92" s="102">
        <f t="shared" si="140"/>
        <v>0</v>
      </c>
      <c r="T92" s="109">
        <v>0.33333333333333331</v>
      </c>
      <c r="U92" s="109">
        <v>0.5</v>
      </c>
      <c r="V92" s="109">
        <v>0.5625</v>
      </c>
      <c r="W92" s="109">
        <v>0.72916666666666663</v>
      </c>
      <c r="X92" s="102">
        <f>HDSD!$F$4</f>
        <v>5</v>
      </c>
      <c r="Y92" s="102">
        <f>SUMIFS('2. Đi muộn về sớm'!$K:$K,
'2. Đi muộn về sớm'!$B:$B,$A92,
'2. Đi muộn về sớm'!$D:$D,$J92)</f>
        <v>0</v>
      </c>
      <c r="Z92" s="110">
        <f t="shared" si="141"/>
        <v>2.1833333333333331</v>
      </c>
      <c r="AA92" s="110">
        <f t="shared" si="142"/>
        <v>0</v>
      </c>
      <c r="AB92" s="111">
        <f t="shared" si="143"/>
        <v>2.1833333333333331</v>
      </c>
      <c r="AC92" s="112">
        <f t="shared" si="108"/>
        <v>0</v>
      </c>
      <c r="AD92" s="113">
        <f t="shared" si="109"/>
        <v>0</v>
      </c>
      <c r="AE92" s="111">
        <f t="shared" si="144"/>
        <v>0</v>
      </c>
      <c r="AF92" s="113">
        <f t="shared" si="110"/>
        <v>0</v>
      </c>
      <c r="AG92" s="113">
        <f t="shared" si="111"/>
        <v>0</v>
      </c>
      <c r="AH92" s="114">
        <f t="shared" si="148"/>
        <v>3.9636111111111112</v>
      </c>
      <c r="AI92" s="102" t="str">
        <f t="shared" si="112"/>
        <v>X:4</v>
      </c>
      <c r="AJ92" s="102" t="str">
        <f t="shared" si="113"/>
        <v>NV11443778</v>
      </c>
      <c r="AK92" s="102" t="str">
        <f>IF(OR(J92&lt;D92,J92&gt;F92),"",
IFERROR(INDEX('3. Đơn xin nghỉ'!$K:$K,MATCH('4. Tổng hợp dữ liệu'!AJ92,'3. Đơn xin nghỉ'!$I:$I,0),1),
IF(AND(AU92="Không CC",I92&lt;&gt;1),"Ro:8","")))</f>
        <v/>
      </c>
      <c r="AL92" s="102" t="str">
        <f t="shared" si="114"/>
        <v/>
      </c>
      <c r="AM92" s="102" t="str">
        <f t="shared" si="145"/>
        <v>X:4</v>
      </c>
      <c r="AN92" s="102" t="s">
        <v>92</v>
      </c>
      <c r="AO92" s="102" t="s">
        <v>281</v>
      </c>
      <c r="AP92" s="115">
        <f>IFERROR(VLOOKUP(AN92,'Quy đổi công'!A:D,3,0),0)</f>
        <v>1</v>
      </c>
      <c r="AQ92" s="115">
        <f>IFERROR(VLOOKUP(AN92,'Quy đổi công'!A:D,4,0),0)</f>
        <v>0</v>
      </c>
      <c r="AR92" s="115">
        <f t="shared" si="115"/>
        <v>0</v>
      </c>
      <c r="AS92" s="115">
        <f t="shared" si="146"/>
        <v>1</v>
      </c>
      <c r="AT92" s="115">
        <f t="shared" si="147"/>
        <v>0</v>
      </c>
      <c r="AU92" s="102" t="str">
        <f t="shared" si="116"/>
        <v/>
      </c>
      <c r="AV92" s="102" t="str">
        <f t="shared" si="117"/>
        <v/>
      </c>
      <c r="AW92" s="102" t="str">
        <f t="shared" si="118"/>
        <v/>
      </c>
      <c r="AX92" s="102" t="str">
        <f t="shared" si="119"/>
        <v>Quên check out</v>
      </c>
      <c r="AY92" s="102" t="str">
        <f t="shared" si="120"/>
        <v/>
      </c>
      <c r="AZ92" s="102" t="s">
        <v>230</v>
      </c>
      <c r="BA92" s="102">
        <f>IF(AV92&lt;&gt;0,COUNTIFS($A$7:A92,A92,$AV$7:AV92,"Quên check in"))
+IF(AW92&lt;&gt;0,COUNTIFS($A$7:A92,A92,$AW$7:AW92,"Quên check in"))
+IF(AX92&lt;&gt;0,COUNTIFS($A$7:A92,A92,$AX$7:AX92,"Quên check out"))
+IF(AY92&lt;&gt;0,COUNTIFS($A$7:A92,A92,$AY$7:AY92,"Quên check out"))</f>
        <v>1</v>
      </c>
      <c r="BB92" s="143">
        <f t="shared" si="121"/>
        <v>0</v>
      </c>
    </row>
    <row r="93" spans="1:54" s="83" customFormat="1" ht="14.1" customHeight="1" x14ac:dyDescent="0.3">
      <c r="A93" s="103" t="s">
        <v>10</v>
      </c>
      <c r="B93" s="104" t="s">
        <v>19</v>
      </c>
      <c r="C93" s="105">
        <v>5000000</v>
      </c>
      <c r="D93" s="106">
        <v>43445</v>
      </c>
      <c r="E93" s="107">
        <v>43647</v>
      </c>
      <c r="F93" s="107">
        <v>73415</v>
      </c>
      <c r="G93" s="105">
        <v>26</v>
      </c>
      <c r="H93" s="105">
        <f t="shared" si="135"/>
        <v>7</v>
      </c>
      <c r="I93" s="105"/>
      <c r="J93" s="108">
        <v>43778</v>
      </c>
      <c r="K93" s="108" t="str">
        <f t="shared" si="136"/>
        <v>NV11843778VàoSáng</v>
      </c>
      <c r="L93" s="102" t="str">
        <f>IFERROR(VLOOKUP(K93,'1. Vân tay'!$F:$G,2,0),0)</f>
        <v>08:01:22</v>
      </c>
      <c r="M93" s="108" t="str">
        <f t="shared" si="137"/>
        <v>NV11843778RaSáng</v>
      </c>
      <c r="N93" s="102">
        <f>IFERROR(VLOOKUP(M93,'1. Vân tay'!$F:$G,2,0),0)</f>
        <v>0</v>
      </c>
      <c r="O93" s="108" t="str">
        <f t="shared" si="138"/>
        <v>NV11843778VàoChiều</v>
      </c>
      <c r="P93" s="102">
        <f>IFERROR(VLOOKUP(O93,'1. Vân tay'!$F:$G,2,0),0)</f>
        <v>0</v>
      </c>
      <c r="Q93" s="108" t="str">
        <f t="shared" si="139"/>
        <v>NV11843778RaChiều</v>
      </c>
      <c r="R93" s="102" t="str">
        <f>IFERROR(VLOOKUP(Q93,'1. Vân tay'!$F:$G,2,0),0)</f>
        <v>17:33:09</v>
      </c>
      <c r="S93" s="102">
        <f t="shared" si="140"/>
        <v>0</v>
      </c>
      <c r="T93" s="109">
        <v>0.33333333333333331</v>
      </c>
      <c r="U93" s="109">
        <v>0.5</v>
      </c>
      <c r="V93" s="109">
        <v>0.5625</v>
      </c>
      <c r="W93" s="109">
        <v>0.72916666666666663</v>
      </c>
      <c r="X93" s="102">
        <f>HDSD!$F$4</f>
        <v>5</v>
      </c>
      <c r="Y93" s="102">
        <f>SUMIFS('2. Đi muộn về sớm'!$K:$K,
'2. Đi muộn về sớm'!$B:$B,$A93,
'2. Đi muộn về sớm'!$D:$D,$J93)</f>
        <v>0</v>
      </c>
      <c r="Z93" s="110">
        <f t="shared" si="141"/>
        <v>1.3666666666666667</v>
      </c>
      <c r="AA93" s="110">
        <f t="shared" si="142"/>
        <v>0</v>
      </c>
      <c r="AB93" s="111">
        <f t="shared" si="143"/>
        <v>1.3666666666666667</v>
      </c>
      <c r="AC93" s="112">
        <f t="shared" si="108"/>
        <v>0</v>
      </c>
      <c r="AD93" s="113">
        <f t="shared" si="109"/>
        <v>0</v>
      </c>
      <c r="AE93" s="111">
        <f t="shared" si="144"/>
        <v>0</v>
      </c>
      <c r="AF93" s="113">
        <f t="shared" si="110"/>
        <v>0</v>
      </c>
      <c r="AG93" s="113">
        <f t="shared" si="111"/>
        <v>0</v>
      </c>
      <c r="AH93" s="114">
        <f t="shared" si="148"/>
        <v>9.5297222222222224</v>
      </c>
      <c r="AI93" s="102" t="str">
        <f t="shared" si="112"/>
        <v>X:8</v>
      </c>
      <c r="AJ93" s="102" t="str">
        <f t="shared" si="113"/>
        <v>NV11843778</v>
      </c>
      <c r="AK93" s="102" t="str">
        <f>IF(OR(J93&lt;D93,J93&gt;F93),"",
IFERROR(INDEX('3. Đơn xin nghỉ'!$K:$K,MATCH('4. Tổng hợp dữ liệu'!AJ93,'3. Đơn xin nghỉ'!$I:$I,0),1),
IF(AND(AU93="Không CC",I93&lt;&gt;1),"Ro:8","")))</f>
        <v/>
      </c>
      <c r="AL93" s="102" t="str">
        <f t="shared" si="114"/>
        <v/>
      </c>
      <c r="AM93" s="102" t="str">
        <f t="shared" si="145"/>
        <v>X:8</v>
      </c>
      <c r="AN93" s="102" t="s">
        <v>92</v>
      </c>
      <c r="AO93" s="102"/>
      <c r="AP93" s="115">
        <f>IFERROR(VLOOKUP(AN93,'Quy đổi công'!A:D,3,0),0)</f>
        <v>1</v>
      </c>
      <c r="AQ93" s="115">
        <f>IFERROR(VLOOKUP(AN93,'Quy đổi công'!A:D,4,0),0)</f>
        <v>0</v>
      </c>
      <c r="AR93" s="115">
        <f t="shared" si="115"/>
        <v>0</v>
      </c>
      <c r="AS93" s="115">
        <f t="shared" si="146"/>
        <v>1</v>
      </c>
      <c r="AT93" s="115">
        <f t="shared" si="147"/>
        <v>0</v>
      </c>
      <c r="AU93" s="102" t="str">
        <f t="shared" si="116"/>
        <v/>
      </c>
      <c r="AV93" s="102" t="str">
        <f t="shared" si="117"/>
        <v/>
      </c>
      <c r="AW93" s="102" t="str">
        <f t="shared" si="118"/>
        <v/>
      </c>
      <c r="AX93" s="102" t="str">
        <f t="shared" si="119"/>
        <v/>
      </c>
      <c r="AY93" s="102" t="str">
        <f t="shared" si="120"/>
        <v/>
      </c>
      <c r="AZ93" s="102"/>
      <c r="BA93" s="102">
        <f>IF(AV93&lt;&gt;0,COUNTIFS($A$7:A93,A93,$AV$7:AV93,"Quên check in"))
+IF(AW93&lt;&gt;0,COUNTIFS($A$7:A93,A93,$AW$7:AW93,"Quên check in"))
+IF(AX93&lt;&gt;0,COUNTIFS($A$7:A93,A93,$AX$7:AX93,"Quên check out"))
+IF(AY93&lt;&gt;0,COUNTIFS($A$7:A93,A93,$AY$7:AY93,"Quên check out"))</f>
        <v>0</v>
      </c>
      <c r="BB93" s="143">
        <f t="shared" si="121"/>
        <v>0</v>
      </c>
    </row>
    <row r="94" spans="1:54" s="83" customFormat="1" ht="14.1" customHeight="1" x14ac:dyDescent="0.3">
      <c r="A94" s="103" t="s">
        <v>11</v>
      </c>
      <c r="B94" s="104" t="s">
        <v>20</v>
      </c>
      <c r="C94" s="105">
        <v>4700000</v>
      </c>
      <c r="D94" s="106">
        <v>43467</v>
      </c>
      <c r="E94" s="107">
        <v>43617</v>
      </c>
      <c r="F94" s="107">
        <v>73415</v>
      </c>
      <c r="G94" s="105">
        <v>26</v>
      </c>
      <c r="H94" s="105">
        <f t="shared" si="135"/>
        <v>7</v>
      </c>
      <c r="I94" s="105"/>
      <c r="J94" s="108">
        <v>43778</v>
      </c>
      <c r="K94" s="108" t="str">
        <f t="shared" si="136"/>
        <v>NV12243778VàoSáng</v>
      </c>
      <c r="L94" s="102" t="str">
        <f>IFERROR(VLOOKUP(K94,'1. Vân tay'!$F:$G,2,0),0)</f>
        <v>07:46:40</v>
      </c>
      <c r="M94" s="108" t="str">
        <f t="shared" si="137"/>
        <v>NV12243778RaSáng</v>
      </c>
      <c r="N94" s="102">
        <f>IFERROR(VLOOKUP(M94,'1. Vân tay'!$F:$G,2,0),0)</f>
        <v>0</v>
      </c>
      <c r="O94" s="108" t="str">
        <f t="shared" si="138"/>
        <v>NV12243778VàoChiều</v>
      </c>
      <c r="P94" s="102">
        <f>IFERROR(VLOOKUP(O94,'1. Vân tay'!$F:$G,2,0),0)</f>
        <v>0</v>
      </c>
      <c r="Q94" s="108" t="str">
        <f t="shared" si="139"/>
        <v>NV12243778RaChiều</v>
      </c>
      <c r="R94" s="102" t="str">
        <f>IFERROR(VLOOKUP(Q94,'1. Vân tay'!$F:$G,2,0),0)</f>
        <v>17:31:45</v>
      </c>
      <c r="S94" s="102">
        <f t="shared" si="140"/>
        <v>0</v>
      </c>
      <c r="T94" s="109">
        <v>0.33333333333333331</v>
      </c>
      <c r="U94" s="109">
        <v>0.5</v>
      </c>
      <c r="V94" s="109">
        <v>0.5625</v>
      </c>
      <c r="W94" s="109">
        <v>0.72916666666666663</v>
      </c>
      <c r="X94" s="102">
        <f>HDSD!$F$4</f>
        <v>5</v>
      </c>
      <c r="Y94" s="102">
        <f>SUMIFS('2. Đi muộn về sớm'!$K:$K,
'2. Đi muộn về sớm'!$B:$B,$A94,
'2. Đi muộn về sớm'!$D:$D,$J94)</f>
        <v>0</v>
      </c>
      <c r="Z94" s="110">
        <f t="shared" si="141"/>
        <v>0</v>
      </c>
      <c r="AA94" s="110">
        <f t="shared" si="142"/>
        <v>0</v>
      </c>
      <c r="AB94" s="111">
        <f t="shared" si="143"/>
        <v>0</v>
      </c>
      <c r="AC94" s="112">
        <f t="shared" si="108"/>
        <v>0</v>
      </c>
      <c r="AD94" s="113">
        <f t="shared" si="109"/>
        <v>0</v>
      </c>
      <c r="AE94" s="111">
        <f t="shared" si="144"/>
        <v>0</v>
      </c>
      <c r="AF94" s="113">
        <f t="shared" si="110"/>
        <v>0</v>
      </c>
      <c r="AG94" s="113">
        <f t="shared" si="111"/>
        <v>0</v>
      </c>
      <c r="AH94" s="114">
        <f t="shared" si="148"/>
        <v>9.7513888888888882</v>
      </c>
      <c r="AI94" s="102" t="str">
        <f t="shared" si="112"/>
        <v>X:8</v>
      </c>
      <c r="AJ94" s="102" t="str">
        <f t="shared" si="113"/>
        <v>NV12243778</v>
      </c>
      <c r="AK94" s="102" t="str">
        <f>IF(OR(J94&lt;D94,J94&gt;F94),"",
IFERROR(INDEX('3. Đơn xin nghỉ'!$K:$K,MATCH('4. Tổng hợp dữ liệu'!AJ94,'3. Đơn xin nghỉ'!$I:$I,0),1),
IF(AND(AU94="Không CC",I94&lt;&gt;1),"Ro:8","")))</f>
        <v/>
      </c>
      <c r="AL94" s="102" t="str">
        <f t="shared" si="114"/>
        <v/>
      </c>
      <c r="AM94" s="102" t="str">
        <f t="shared" si="145"/>
        <v>X:8</v>
      </c>
      <c r="AN94" s="102" t="s">
        <v>92</v>
      </c>
      <c r="AO94" s="102"/>
      <c r="AP94" s="115">
        <f>IFERROR(VLOOKUP(AN94,'Quy đổi công'!A:D,3,0),0)</f>
        <v>1</v>
      </c>
      <c r="AQ94" s="115">
        <f>IFERROR(VLOOKUP(AN94,'Quy đổi công'!A:D,4,0),0)</f>
        <v>0</v>
      </c>
      <c r="AR94" s="115">
        <f t="shared" si="115"/>
        <v>0</v>
      </c>
      <c r="AS94" s="115">
        <f t="shared" si="146"/>
        <v>1</v>
      </c>
      <c r="AT94" s="115">
        <f t="shared" si="147"/>
        <v>0</v>
      </c>
      <c r="AU94" s="102" t="str">
        <f t="shared" si="116"/>
        <v/>
      </c>
      <c r="AV94" s="102" t="str">
        <f t="shared" si="117"/>
        <v/>
      </c>
      <c r="AW94" s="102" t="str">
        <f t="shared" si="118"/>
        <v/>
      </c>
      <c r="AX94" s="102" t="str">
        <f t="shared" si="119"/>
        <v/>
      </c>
      <c r="AY94" s="102" t="str">
        <f t="shared" si="120"/>
        <v/>
      </c>
      <c r="AZ94" s="102"/>
      <c r="BA94" s="102">
        <f>IF(AV94&lt;&gt;0,COUNTIFS($A$7:A94,A94,$AV$7:AV94,"Quên check in"))
+IF(AW94&lt;&gt;0,COUNTIFS($A$7:A94,A94,$AW$7:AW94,"Quên check in"))
+IF(AX94&lt;&gt;0,COUNTIFS($A$7:A94,A94,$AX$7:AX94,"Quên check out"))
+IF(AY94&lt;&gt;0,COUNTIFS($A$7:A94,A94,$AY$7:AY94,"Quên check out"))</f>
        <v>1</v>
      </c>
      <c r="BB94" s="143">
        <f t="shared" si="121"/>
        <v>0</v>
      </c>
    </row>
    <row r="95" spans="1:54" s="83" customFormat="1" ht="14.1" customHeight="1" x14ac:dyDescent="0.3">
      <c r="A95" s="103" t="s">
        <v>12</v>
      </c>
      <c r="B95" s="104" t="s">
        <v>21</v>
      </c>
      <c r="C95" s="105">
        <v>5000000</v>
      </c>
      <c r="D95" s="106">
        <v>43482</v>
      </c>
      <c r="E95" s="107">
        <v>43647</v>
      </c>
      <c r="F95" s="107">
        <v>73415</v>
      </c>
      <c r="G95" s="105">
        <v>26</v>
      </c>
      <c r="H95" s="105">
        <f t="shared" si="135"/>
        <v>7</v>
      </c>
      <c r="I95" s="105"/>
      <c r="J95" s="108">
        <v>43778</v>
      </c>
      <c r="K95" s="108" t="str">
        <f t="shared" si="136"/>
        <v>NV12343778VàoSáng</v>
      </c>
      <c r="L95" s="102" t="str">
        <f>IFERROR(VLOOKUP(K95,'1. Vân tay'!$F:$G,2,0),0)</f>
        <v>07:47:19</v>
      </c>
      <c r="M95" s="108" t="str">
        <f t="shared" si="137"/>
        <v>NV12343778RaSáng</v>
      </c>
      <c r="N95" s="102">
        <f>IFERROR(VLOOKUP(M95,'1. Vân tay'!$F:$G,2,0),0)</f>
        <v>0</v>
      </c>
      <c r="O95" s="108" t="str">
        <f t="shared" si="138"/>
        <v>NV12343778VàoChiều</v>
      </c>
      <c r="P95" s="102">
        <f>IFERROR(VLOOKUP(O95,'1. Vân tay'!$F:$G,2,0),0)</f>
        <v>0</v>
      </c>
      <c r="Q95" s="108" t="str">
        <f t="shared" si="139"/>
        <v>NV12343778RaChiều</v>
      </c>
      <c r="R95" s="102" t="str">
        <f>IFERROR(VLOOKUP(Q95,'1. Vân tay'!$F:$G,2,0),0)</f>
        <v>16:34:35</v>
      </c>
      <c r="S95" s="102">
        <f t="shared" si="140"/>
        <v>0</v>
      </c>
      <c r="T95" s="109">
        <v>0.33333333333333331</v>
      </c>
      <c r="U95" s="109">
        <v>0.5</v>
      </c>
      <c r="V95" s="109">
        <v>0.5625</v>
      </c>
      <c r="W95" s="109">
        <v>0.72916666666666663</v>
      </c>
      <c r="X95" s="102">
        <f>HDSD!$F$4</f>
        <v>5</v>
      </c>
      <c r="Y95" s="102">
        <f>SUMIFS('2. Đi muộn về sớm'!$K:$K,
'2. Đi muộn về sớm'!$B:$B,$A95,
'2. Đi muộn về sớm'!$D:$D,$J95)</f>
        <v>60</v>
      </c>
      <c r="Z95" s="110">
        <f t="shared" si="141"/>
        <v>55.416666666666664</v>
      </c>
      <c r="AA95" s="110">
        <f t="shared" si="142"/>
        <v>0</v>
      </c>
      <c r="AB95" s="111">
        <f t="shared" si="143"/>
        <v>55.416666666666664</v>
      </c>
      <c r="AC95" s="112">
        <f t="shared" si="108"/>
        <v>0</v>
      </c>
      <c r="AD95" s="113">
        <f t="shared" si="109"/>
        <v>0</v>
      </c>
      <c r="AE95" s="111">
        <f t="shared" si="144"/>
        <v>0</v>
      </c>
      <c r="AF95" s="113">
        <f t="shared" si="110"/>
        <v>0</v>
      </c>
      <c r="AG95" s="113">
        <f t="shared" si="111"/>
        <v>0</v>
      </c>
      <c r="AH95" s="114">
        <f t="shared" si="148"/>
        <v>8.7877777777777784</v>
      </c>
      <c r="AI95" s="102" t="str">
        <f t="shared" si="112"/>
        <v>X:8</v>
      </c>
      <c r="AJ95" s="102" t="str">
        <f t="shared" si="113"/>
        <v>NV12343778</v>
      </c>
      <c r="AK95" s="102" t="str">
        <f>IF(OR(J95&lt;D95,J95&gt;F95),"",
IFERROR(INDEX('3. Đơn xin nghỉ'!$K:$K,MATCH('4. Tổng hợp dữ liệu'!AJ95,'3. Đơn xin nghỉ'!$I:$I,0),1),
IF(AND(AU95="Không CC",I95&lt;&gt;1),"Ro:8","")))</f>
        <v/>
      </c>
      <c r="AL95" s="102" t="str">
        <f t="shared" si="114"/>
        <v/>
      </c>
      <c r="AM95" s="102" t="str">
        <f t="shared" si="145"/>
        <v>X:8</v>
      </c>
      <c r="AN95" s="102" t="s">
        <v>92</v>
      </c>
      <c r="AO95" s="102"/>
      <c r="AP95" s="115">
        <f>IFERROR(VLOOKUP(AN95,'Quy đổi công'!A:D,3,0),0)</f>
        <v>1</v>
      </c>
      <c r="AQ95" s="115">
        <f>IFERROR(VLOOKUP(AN95,'Quy đổi công'!A:D,4,0),0)</f>
        <v>0</v>
      </c>
      <c r="AR95" s="115">
        <f t="shared" si="115"/>
        <v>0</v>
      </c>
      <c r="AS95" s="115">
        <f t="shared" si="146"/>
        <v>1</v>
      </c>
      <c r="AT95" s="115">
        <f t="shared" si="147"/>
        <v>0</v>
      </c>
      <c r="AU95" s="102" t="str">
        <f t="shared" si="116"/>
        <v/>
      </c>
      <c r="AV95" s="102" t="str">
        <f t="shared" si="117"/>
        <v/>
      </c>
      <c r="AW95" s="102" t="str">
        <f t="shared" si="118"/>
        <v/>
      </c>
      <c r="AX95" s="102" t="str">
        <f t="shared" si="119"/>
        <v/>
      </c>
      <c r="AY95" s="102" t="str">
        <f t="shared" si="120"/>
        <v/>
      </c>
      <c r="AZ95" s="102"/>
      <c r="BA95" s="102">
        <f>IF(AV95&lt;&gt;0,COUNTIFS($A$7:A95,A95,$AV$7:AV95,"Quên check in"))
+IF(AW95&lt;&gt;0,COUNTIFS($A$7:A95,A95,$AW$7:AW95,"Quên check in"))
+IF(AX95&lt;&gt;0,COUNTIFS($A$7:A95,A95,$AX$7:AX95,"Quên check out"))
+IF(AY95&lt;&gt;0,COUNTIFS($A$7:A95,A95,$AY$7:AY95,"Quên check out"))</f>
        <v>0</v>
      </c>
      <c r="BB95" s="143">
        <f t="shared" si="121"/>
        <v>0</v>
      </c>
    </row>
    <row r="96" spans="1:54" s="83" customFormat="1" ht="14.1" customHeight="1" x14ac:dyDescent="0.3">
      <c r="A96" s="103" t="s">
        <v>13</v>
      </c>
      <c r="B96" s="104" t="s">
        <v>22</v>
      </c>
      <c r="C96" s="105">
        <v>4700000</v>
      </c>
      <c r="D96" s="106">
        <v>43531</v>
      </c>
      <c r="E96" s="107">
        <v>43647</v>
      </c>
      <c r="F96" s="107">
        <v>73415</v>
      </c>
      <c r="G96" s="105">
        <v>26</v>
      </c>
      <c r="H96" s="105">
        <f t="shared" si="135"/>
        <v>7</v>
      </c>
      <c r="I96" s="105"/>
      <c r="J96" s="108">
        <v>43778</v>
      </c>
      <c r="K96" s="108" t="str">
        <f t="shared" si="136"/>
        <v>NV12643778VàoSáng</v>
      </c>
      <c r="L96" s="102" t="str">
        <f>IFERROR(VLOOKUP(K96,'1. Vân tay'!$F:$G,2,0),0)</f>
        <v>07:53:12</v>
      </c>
      <c r="M96" s="108" t="str">
        <f t="shared" si="137"/>
        <v>NV12643778RaSáng</v>
      </c>
      <c r="N96" s="102">
        <f>IFERROR(VLOOKUP(M96,'1. Vân tay'!$F:$G,2,0),0)</f>
        <v>0</v>
      </c>
      <c r="O96" s="108" t="str">
        <f t="shared" si="138"/>
        <v>NV12643778VàoChiều</v>
      </c>
      <c r="P96" s="102">
        <f>IFERROR(VLOOKUP(O96,'1. Vân tay'!$F:$G,2,0),0)</f>
        <v>0</v>
      </c>
      <c r="Q96" s="108" t="str">
        <f t="shared" si="139"/>
        <v>NV12643778RaChiều</v>
      </c>
      <c r="R96" s="102" t="str">
        <f>IFERROR(VLOOKUP(Q96,'1. Vân tay'!$F:$G,2,0),0)</f>
        <v>17:33:34</v>
      </c>
      <c r="S96" s="102">
        <f t="shared" si="140"/>
        <v>0</v>
      </c>
      <c r="T96" s="109">
        <v>0.33333333333333331</v>
      </c>
      <c r="U96" s="109">
        <v>0.5</v>
      </c>
      <c r="V96" s="109">
        <v>0.5625</v>
      </c>
      <c r="W96" s="109">
        <v>0.72916666666666663</v>
      </c>
      <c r="X96" s="102">
        <f>HDSD!$F$4</f>
        <v>5</v>
      </c>
      <c r="Y96" s="102">
        <f>SUMIFS('2. Đi muộn về sớm'!$K:$K,
'2. Đi muộn về sớm'!$B:$B,$A96,
'2. Đi muộn về sớm'!$D:$D,$J96)</f>
        <v>0</v>
      </c>
      <c r="Z96" s="110">
        <f t="shared" si="141"/>
        <v>0</v>
      </c>
      <c r="AA96" s="110">
        <f t="shared" si="142"/>
        <v>0</v>
      </c>
      <c r="AB96" s="111">
        <f t="shared" si="143"/>
        <v>0</v>
      </c>
      <c r="AC96" s="112">
        <f t="shared" si="108"/>
        <v>0</v>
      </c>
      <c r="AD96" s="113">
        <f t="shared" si="109"/>
        <v>0</v>
      </c>
      <c r="AE96" s="111">
        <f t="shared" si="144"/>
        <v>0</v>
      </c>
      <c r="AF96" s="113">
        <f t="shared" si="110"/>
        <v>0</v>
      </c>
      <c r="AG96" s="113">
        <f t="shared" si="111"/>
        <v>0</v>
      </c>
      <c r="AH96" s="114">
        <f t="shared" si="148"/>
        <v>9.6727777777777764</v>
      </c>
      <c r="AI96" s="102" t="str">
        <f t="shared" si="112"/>
        <v>X:8</v>
      </c>
      <c r="AJ96" s="102" t="str">
        <f t="shared" si="113"/>
        <v>NV12643778</v>
      </c>
      <c r="AK96" s="102" t="str">
        <f>IF(OR(J96&lt;D96,J96&gt;F96),"",
IFERROR(INDEX('3. Đơn xin nghỉ'!$K:$K,MATCH('4. Tổng hợp dữ liệu'!AJ96,'3. Đơn xin nghỉ'!$I:$I,0),1),
IF(AND(AU96="Không CC",I96&lt;&gt;1),"Ro:8","")))</f>
        <v/>
      </c>
      <c r="AL96" s="102" t="str">
        <f t="shared" si="114"/>
        <v/>
      </c>
      <c r="AM96" s="102" t="str">
        <f t="shared" si="145"/>
        <v>X:8</v>
      </c>
      <c r="AN96" s="102" t="s">
        <v>92</v>
      </c>
      <c r="AO96" s="102"/>
      <c r="AP96" s="115">
        <f>IFERROR(VLOOKUP(AN96,'Quy đổi công'!A:D,3,0),0)</f>
        <v>1</v>
      </c>
      <c r="AQ96" s="115">
        <f>IFERROR(VLOOKUP(AN96,'Quy đổi công'!A:D,4,0),0)</f>
        <v>0</v>
      </c>
      <c r="AR96" s="115">
        <f t="shared" si="115"/>
        <v>0</v>
      </c>
      <c r="AS96" s="115">
        <f t="shared" si="146"/>
        <v>1</v>
      </c>
      <c r="AT96" s="115">
        <f t="shared" si="147"/>
        <v>0</v>
      </c>
      <c r="AU96" s="102" t="str">
        <f t="shared" si="116"/>
        <v/>
      </c>
      <c r="AV96" s="102" t="str">
        <f t="shared" si="117"/>
        <v/>
      </c>
      <c r="AW96" s="102" t="str">
        <f t="shared" si="118"/>
        <v/>
      </c>
      <c r="AX96" s="102" t="str">
        <f t="shared" si="119"/>
        <v/>
      </c>
      <c r="AY96" s="102" t="str">
        <f t="shared" si="120"/>
        <v/>
      </c>
      <c r="AZ96" s="102"/>
      <c r="BA96" s="102">
        <f>IF(AV96&lt;&gt;0,COUNTIFS($A$7:A96,A96,$AV$7:AV96,"Quên check in"))
+IF(AW96&lt;&gt;0,COUNTIFS($A$7:A96,A96,$AW$7:AW96,"Quên check in"))
+IF(AX96&lt;&gt;0,COUNTIFS($A$7:A96,A96,$AX$7:AX96,"Quên check out"))
+IF(AY96&lt;&gt;0,COUNTIFS($A$7:A96,A96,$AY$7:AY96,"Quên check out"))</f>
        <v>0</v>
      </c>
      <c r="BB96" s="143">
        <f t="shared" si="121"/>
        <v>0</v>
      </c>
    </row>
    <row r="97" spans="1:54" s="83" customFormat="1" ht="14.1" customHeight="1" x14ac:dyDescent="0.3">
      <c r="A97" s="103" t="s">
        <v>4</v>
      </c>
      <c r="B97" s="104" t="s">
        <v>14</v>
      </c>
      <c r="C97" s="105">
        <v>4700000</v>
      </c>
      <c r="D97" s="106">
        <v>43388</v>
      </c>
      <c r="E97" s="107">
        <v>43525</v>
      </c>
      <c r="F97" s="107">
        <v>73415</v>
      </c>
      <c r="G97" s="105">
        <v>26</v>
      </c>
      <c r="H97" s="105">
        <f t="shared" ref="H97:H106" si="149">WEEKDAY(J97,1)</f>
        <v>1</v>
      </c>
      <c r="I97" s="105">
        <v>1</v>
      </c>
      <c r="J97" s="108">
        <v>43779</v>
      </c>
      <c r="K97" s="108" t="str">
        <f t="shared" ref="K97:K106" si="150">$A97&amp;$J97&amp;"Vào"&amp;"Sáng"</f>
        <v>NV10143779VàoSáng</v>
      </c>
      <c r="L97" s="102">
        <f>IFERROR(VLOOKUP(K97,'1. Vân tay'!$F:$G,2,0),0)</f>
        <v>0</v>
      </c>
      <c r="M97" s="108" t="str">
        <f t="shared" ref="M97:M106" si="151">$A97&amp;$J97&amp;"Ra"&amp;"Sáng"</f>
        <v>NV10143779RaSáng</v>
      </c>
      <c r="N97" s="102">
        <f>IFERROR(VLOOKUP(M97,'1. Vân tay'!$F:$G,2,0),0)</f>
        <v>0</v>
      </c>
      <c r="O97" s="108" t="str">
        <f t="shared" ref="O97:O106" si="152">$A97&amp;$J97&amp;"Vào"&amp;"Chiều"</f>
        <v>NV10143779VàoChiều</v>
      </c>
      <c r="P97" s="102">
        <f>IFERROR(VLOOKUP(O97,'1. Vân tay'!$F:$G,2,0),0)</f>
        <v>0</v>
      </c>
      <c r="Q97" s="108" t="str">
        <f t="shared" ref="Q97:Q106" si="153">$A97&amp;$J97&amp;"Ra"&amp;"Chiều"</f>
        <v>NV10143779RaChiều</v>
      </c>
      <c r="R97" s="102">
        <f>IFERROR(VLOOKUP(Q97,'1. Vân tay'!$F:$G,2,0),0)</f>
        <v>0</v>
      </c>
      <c r="S97" s="102">
        <f t="shared" ref="S97:S106" si="154">IF(OR(
(AND(L97&lt;&gt;0,P97&lt;&gt;0)),
(AND(N97&lt;&gt;0,R97&lt;&gt;0))),"Kiểm tra",0)</f>
        <v>0</v>
      </c>
      <c r="T97" s="109">
        <v>0.33333333333333331</v>
      </c>
      <c r="U97" s="109">
        <v>0.5</v>
      </c>
      <c r="V97" s="109">
        <v>0.5625</v>
      </c>
      <c r="W97" s="109">
        <v>0.72916666666666663</v>
      </c>
      <c r="X97" s="102">
        <f>HDSD!$F$4</f>
        <v>5</v>
      </c>
      <c r="Y97" s="102">
        <f>SUMIFS('2. Đi muộn về sớm'!$K:$K,
'2. Đi muộn về sớm'!$B:$B,$A97,
'2. Đi muộn về sớm'!$D:$D,$J97)</f>
        <v>0</v>
      </c>
      <c r="Z97" s="110">
        <f t="shared" ref="Z97:Z106" si="155">IF(L97=0,0,IFERROR((HOUR(L97-T97)*60+MINUTE(L97-T97)+SECOND(L97-T97)/60),0))
+IF(N97=0,0, IFERROR((HOUR(U97-N97)*60+MINUTE(U97-N97)+SECOND(U97-N97)/60),0))
+IF(P97=0,0, IFERROR((HOUR(P97-V97)*60+MINUTE(P97-V97)+SECOND(P97-V97)/60),0))
+IF(R97=0,0, IFERROR((HOUR(W97-R97)*60+MINUTE(W97-R97)+SECOND(W97-R97)/60),0))</f>
        <v>0</v>
      </c>
      <c r="AA97" s="110">
        <f t="shared" ref="AA97:AA106" si="156">IF(L97=0,0,IFERROR((HOUR(L97-"09:00:00")*60+MINUTE(L97-"09:00:00")+SECOND(L97-"09:00:00")/60),0))
+IF(N97=0,0, IFERROR((HOUR(U97-N97)*60+MINUTE(U97-N97)+SECOND(U97-N97)/60),0))
+IF(P97=0,0, IFERROR((HOUR(P97-V97)*60+MINUTE(P97-V97)+SECOND(P97-V97)/60),0))
+IF(R97=0,0, IFERROR((HOUR("16:30:00"-R97)*60+MINUTE("16:30:00"-R97)+SECOND("16:30:00"-R97)/60),0))</f>
        <v>0</v>
      </c>
      <c r="AB97" s="111">
        <f t="shared" ref="AB97:AB106" si="157">Z97-AA97</f>
        <v>0</v>
      </c>
      <c r="AC97" s="112">
        <f t="shared" si="108"/>
        <v>0</v>
      </c>
      <c r="AD97" s="113">
        <f t="shared" si="109"/>
        <v>0</v>
      </c>
      <c r="AE97" s="111">
        <f t="shared" ref="AE97:AE106" si="158">AA97/60/8</f>
        <v>0</v>
      </c>
      <c r="AF97" s="113">
        <f t="shared" si="110"/>
        <v>0</v>
      </c>
      <c r="AG97" s="113">
        <f t="shared" si="111"/>
        <v>0</v>
      </c>
      <c r="AH97" s="114">
        <f t="shared" si="148"/>
        <v>0</v>
      </c>
      <c r="AI97" s="102" t="str">
        <f t="shared" si="112"/>
        <v/>
      </c>
      <c r="AJ97" s="102" t="str">
        <f t="shared" si="113"/>
        <v>NV10143779</v>
      </c>
      <c r="AK97" s="102" t="str">
        <f>IF(OR(J97&lt;D97,J97&gt;F97),"",
IFERROR(INDEX('3. Đơn xin nghỉ'!$K:$K,MATCH('4. Tổng hợp dữ liệu'!AJ97,'3. Đơn xin nghỉ'!$I:$I,0),1),
IF(AND(AU97="Không CC",I97&lt;&gt;1),"Ro:8","")))</f>
        <v/>
      </c>
      <c r="AL97" s="102" t="str">
        <f t="shared" si="114"/>
        <v>OFF</v>
      </c>
      <c r="AM97" s="102" t="str">
        <f t="shared" ref="AM97:AM106" si="159">IF(OR(AI97="",AK97=""),AI97&amp;AK97,AI97&amp;","&amp;AK97)&amp;AL97</f>
        <v>OFF</v>
      </c>
      <c r="AN97" s="102" t="s">
        <v>93</v>
      </c>
      <c r="AO97" s="102"/>
      <c r="AP97" s="115">
        <f>IFERROR(VLOOKUP(AN97,'Quy đổi công'!A:D,3,0),0)</f>
        <v>0</v>
      </c>
      <c r="AQ97" s="115">
        <f>IFERROR(VLOOKUP(AN97,'Quy đổi công'!A:D,4,0),0)</f>
        <v>0</v>
      </c>
      <c r="AR97" s="115">
        <f t="shared" si="115"/>
        <v>0</v>
      </c>
      <c r="AS97" s="115">
        <f t="shared" ref="AS97:AS106" si="160">AP97-AR97</f>
        <v>0</v>
      </c>
      <c r="AT97" s="115">
        <f t="shared" ref="AT97:AT106" si="161">IF(AN97="P8",1)
+IF(OR(AN97="X:4,P:4",AN97="P:4,Rv:4",AN97="P:4,Ro:4"),1/2)</f>
        <v>0</v>
      </c>
      <c r="AU97" s="102" t="str">
        <f t="shared" si="116"/>
        <v>Không CC</v>
      </c>
      <c r="AV97" s="102" t="str">
        <f t="shared" si="117"/>
        <v/>
      </c>
      <c r="AW97" s="102" t="str">
        <f t="shared" si="118"/>
        <v/>
      </c>
      <c r="AX97" s="102" t="str">
        <f t="shared" si="119"/>
        <v/>
      </c>
      <c r="AY97" s="102" t="str">
        <f t="shared" si="120"/>
        <v/>
      </c>
      <c r="AZ97" s="102"/>
      <c r="BA97" s="102">
        <f>IF(AV97&lt;&gt;0,COUNTIFS($A$7:A97,A97,$AV$7:AV97,"Quên check in"))
+IF(AW97&lt;&gt;0,COUNTIFS($A$7:A97,A97,$AW$7:AW97,"Quên check in"))
+IF(AX97&lt;&gt;0,COUNTIFS($A$7:A97,A97,$AX$7:AX97,"Quên check out"))
+IF(AY97&lt;&gt;0,COUNTIFS($A$7:A97,A97,$AY$7:AY97,"Quên check out"))</f>
        <v>0</v>
      </c>
      <c r="BB97" s="143">
        <f t="shared" si="121"/>
        <v>0</v>
      </c>
    </row>
    <row r="98" spans="1:54" s="83" customFormat="1" ht="14.1" customHeight="1" x14ac:dyDescent="0.3">
      <c r="A98" s="103" t="s">
        <v>5</v>
      </c>
      <c r="B98" s="104" t="s">
        <v>28</v>
      </c>
      <c r="C98" s="105">
        <v>10000000</v>
      </c>
      <c r="D98" s="106">
        <v>43409</v>
      </c>
      <c r="E98" s="107">
        <v>43678</v>
      </c>
      <c r="F98" s="107">
        <v>73415</v>
      </c>
      <c r="G98" s="105">
        <v>26</v>
      </c>
      <c r="H98" s="105">
        <f t="shared" si="149"/>
        <v>1</v>
      </c>
      <c r="I98" s="105">
        <v>1</v>
      </c>
      <c r="J98" s="108">
        <v>43779</v>
      </c>
      <c r="K98" s="108" t="str">
        <f t="shared" si="150"/>
        <v>NV10743779VàoSáng</v>
      </c>
      <c r="L98" s="102">
        <f>IFERROR(VLOOKUP(K98,'1. Vân tay'!$F:$G,2,0),0)</f>
        <v>0</v>
      </c>
      <c r="M98" s="108" t="str">
        <f t="shared" si="151"/>
        <v>NV10743779RaSáng</v>
      </c>
      <c r="N98" s="102">
        <f>IFERROR(VLOOKUP(M98,'1. Vân tay'!$F:$G,2,0),0)</f>
        <v>0</v>
      </c>
      <c r="O98" s="108" t="str">
        <f t="shared" si="152"/>
        <v>NV10743779VàoChiều</v>
      </c>
      <c r="P98" s="102">
        <f>IFERROR(VLOOKUP(O98,'1. Vân tay'!$F:$G,2,0),0)</f>
        <v>0</v>
      </c>
      <c r="Q98" s="108" t="str">
        <f t="shared" si="153"/>
        <v>NV10743779RaChiều</v>
      </c>
      <c r="R98" s="102">
        <f>IFERROR(VLOOKUP(Q98,'1. Vân tay'!$F:$G,2,0),0)</f>
        <v>0</v>
      </c>
      <c r="S98" s="102">
        <f t="shared" si="154"/>
        <v>0</v>
      </c>
      <c r="T98" s="109">
        <v>0.33333333333333331</v>
      </c>
      <c r="U98" s="109">
        <v>0.5</v>
      </c>
      <c r="V98" s="109">
        <v>0.5625</v>
      </c>
      <c r="W98" s="109">
        <v>0.72916666666666663</v>
      </c>
      <c r="X98" s="102">
        <f>HDSD!$F$4</f>
        <v>5</v>
      </c>
      <c r="Y98" s="102">
        <f>SUMIFS('2. Đi muộn về sớm'!$K:$K,
'2. Đi muộn về sớm'!$B:$B,$A98,
'2. Đi muộn về sớm'!$D:$D,$J98)</f>
        <v>0</v>
      </c>
      <c r="Z98" s="110">
        <f t="shared" si="155"/>
        <v>0</v>
      </c>
      <c r="AA98" s="110">
        <f t="shared" si="156"/>
        <v>0</v>
      </c>
      <c r="AB98" s="111">
        <f t="shared" si="157"/>
        <v>0</v>
      </c>
      <c r="AC98" s="112">
        <f t="shared" si="108"/>
        <v>0</v>
      </c>
      <c r="AD98" s="113">
        <f t="shared" si="109"/>
        <v>0</v>
      </c>
      <c r="AE98" s="111">
        <f t="shared" si="158"/>
        <v>0</v>
      </c>
      <c r="AF98" s="113">
        <f t="shared" si="110"/>
        <v>0</v>
      </c>
      <c r="AG98" s="113">
        <f t="shared" si="111"/>
        <v>0</v>
      </c>
      <c r="AH98" s="114">
        <f t="shared" si="148"/>
        <v>0</v>
      </c>
      <c r="AI98" s="102" t="str">
        <f t="shared" si="112"/>
        <v/>
      </c>
      <c r="AJ98" s="102" t="str">
        <f t="shared" si="113"/>
        <v>NV10743779</v>
      </c>
      <c r="AK98" s="102" t="str">
        <f>IF(OR(J98&lt;D98,J98&gt;F98),"",
IFERROR(INDEX('3. Đơn xin nghỉ'!$K:$K,MATCH('4. Tổng hợp dữ liệu'!AJ98,'3. Đơn xin nghỉ'!$I:$I,0),1),
IF(AND(AU98="Không CC",I98&lt;&gt;1),"Ro:8","")))</f>
        <v/>
      </c>
      <c r="AL98" s="102" t="str">
        <f t="shared" si="114"/>
        <v>OFF</v>
      </c>
      <c r="AM98" s="102" t="str">
        <f t="shared" si="159"/>
        <v>OFF</v>
      </c>
      <c r="AN98" s="102" t="s">
        <v>93</v>
      </c>
      <c r="AO98" s="102"/>
      <c r="AP98" s="115">
        <f>IFERROR(VLOOKUP(AN98,'Quy đổi công'!A:D,3,0),0)</f>
        <v>0</v>
      </c>
      <c r="AQ98" s="115">
        <f>IFERROR(VLOOKUP(AN98,'Quy đổi công'!A:D,4,0),0)</f>
        <v>0</v>
      </c>
      <c r="AR98" s="115">
        <f t="shared" si="115"/>
        <v>0</v>
      </c>
      <c r="AS98" s="115">
        <f t="shared" si="160"/>
        <v>0</v>
      </c>
      <c r="AT98" s="115">
        <f t="shared" si="161"/>
        <v>0</v>
      </c>
      <c r="AU98" s="102" t="str">
        <f t="shared" si="116"/>
        <v>Không CC</v>
      </c>
      <c r="AV98" s="102" t="str">
        <f t="shared" si="117"/>
        <v/>
      </c>
      <c r="AW98" s="102" t="str">
        <f t="shared" si="118"/>
        <v/>
      </c>
      <c r="AX98" s="102" t="str">
        <f t="shared" si="119"/>
        <v/>
      </c>
      <c r="AY98" s="102" t="str">
        <f t="shared" si="120"/>
        <v/>
      </c>
      <c r="AZ98" s="102"/>
      <c r="BA98" s="102">
        <f>IF(AV98&lt;&gt;0,COUNTIFS($A$7:A98,A98,$AV$7:AV98,"Quên check in"))
+IF(AW98&lt;&gt;0,COUNTIFS($A$7:A98,A98,$AW$7:AW98,"Quên check in"))
+IF(AX98&lt;&gt;0,COUNTIFS($A$7:A98,A98,$AX$7:AX98,"Quên check out"))
+IF(AY98&lt;&gt;0,COUNTIFS($A$7:A98,A98,$AY$7:AY98,"Quên check out"))</f>
        <v>1</v>
      </c>
      <c r="BB98" s="143">
        <f t="shared" si="121"/>
        <v>0</v>
      </c>
    </row>
    <row r="99" spans="1:54" s="83" customFormat="1" ht="14.1" customHeight="1" x14ac:dyDescent="0.3">
      <c r="A99" s="103" t="s">
        <v>6</v>
      </c>
      <c r="B99" s="104" t="s">
        <v>15</v>
      </c>
      <c r="C99" s="105">
        <v>4700000</v>
      </c>
      <c r="D99" s="106">
        <v>43409</v>
      </c>
      <c r="E99" s="107">
        <v>43617</v>
      </c>
      <c r="F99" s="107">
        <v>73415</v>
      </c>
      <c r="G99" s="105">
        <v>26</v>
      </c>
      <c r="H99" s="105">
        <f t="shared" si="149"/>
        <v>1</v>
      </c>
      <c r="I99" s="105">
        <v>1</v>
      </c>
      <c r="J99" s="108">
        <v>43779</v>
      </c>
      <c r="K99" s="108" t="str">
        <f t="shared" si="150"/>
        <v>NV10843779VàoSáng</v>
      </c>
      <c r="L99" s="102">
        <f>IFERROR(VLOOKUP(K99,'1. Vân tay'!$F:$G,2,0),0)</f>
        <v>0</v>
      </c>
      <c r="M99" s="108" t="str">
        <f t="shared" si="151"/>
        <v>NV10843779RaSáng</v>
      </c>
      <c r="N99" s="102">
        <f>IFERROR(VLOOKUP(M99,'1. Vân tay'!$F:$G,2,0),0)</f>
        <v>0</v>
      </c>
      <c r="O99" s="108" t="str">
        <f t="shared" si="152"/>
        <v>NV10843779VàoChiều</v>
      </c>
      <c r="P99" s="102">
        <f>IFERROR(VLOOKUP(O99,'1. Vân tay'!$F:$G,2,0),0)</f>
        <v>0</v>
      </c>
      <c r="Q99" s="108" t="str">
        <f t="shared" si="153"/>
        <v>NV10843779RaChiều</v>
      </c>
      <c r="R99" s="102">
        <f>IFERROR(VLOOKUP(Q99,'1. Vân tay'!$F:$G,2,0),0)</f>
        <v>0</v>
      </c>
      <c r="S99" s="102">
        <f t="shared" si="154"/>
        <v>0</v>
      </c>
      <c r="T99" s="109">
        <v>0.33333333333333331</v>
      </c>
      <c r="U99" s="109">
        <v>0.5</v>
      </c>
      <c r="V99" s="109">
        <v>0.5625</v>
      </c>
      <c r="W99" s="109">
        <v>0.72916666666666663</v>
      </c>
      <c r="X99" s="102">
        <f>HDSD!$F$4</f>
        <v>5</v>
      </c>
      <c r="Y99" s="102">
        <f>SUMIFS('2. Đi muộn về sớm'!$K:$K,
'2. Đi muộn về sớm'!$B:$B,$A99,
'2. Đi muộn về sớm'!$D:$D,$J99)</f>
        <v>0</v>
      </c>
      <c r="Z99" s="110">
        <f t="shared" si="155"/>
        <v>0</v>
      </c>
      <c r="AA99" s="110">
        <f t="shared" si="156"/>
        <v>0</v>
      </c>
      <c r="AB99" s="111">
        <f t="shared" si="157"/>
        <v>0</v>
      </c>
      <c r="AC99" s="112">
        <f t="shared" si="108"/>
        <v>0</v>
      </c>
      <c r="AD99" s="113">
        <f t="shared" si="109"/>
        <v>0</v>
      </c>
      <c r="AE99" s="111">
        <f t="shared" si="158"/>
        <v>0</v>
      </c>
      <c r="AF99" s="113">
        <f t="shared" si="110"/>
        <v>0</v>
      </c>
      <c r="AG99" s="113">
        <f t="shared" si="111"/>
        <v>0</v>
      </c>
      <c r="AH99" s="114">
        <f t="shared" si="148"/>
        <v>0</v>
      </c>
      <c r="AI99" s="102" t="str">
        <f t="shared" si="112"/>
        <v/>
      </c>
      <c r="AJ99" s="102" t="str">
        <f t="shared" si="113"/>
        <v>NV10843779</v>
      </c>
      <c r="AK99" s="102" t="str">
        <f>IF(OR(J99&lt;D99,J99&gt;F99),"",
IFERROR(INDEX('3. Đơn xin nghỉ'!$K:$K,MATCH('4. Tổng hợp dữ liệu'!AJ99,'3. Đơn xin nghỉ'!$I:$I,0),1),
IF(AND(AU99="Không CC",I99&lt;&gt;1),"Ro:8","")))</f>
        <v/>
      </c>
      <c r="AL99" s="102" t="str">
        <f t="shared" si="114"/>
        <v>OFF</v>
      </c>
      <c r="AM99" s="102" t="str">
        <f t="shared" si="159"/>
        <v>OFF</v>
      </c>
      <c r="AN99" s="102" t="s">
        <v>93</v>
      </c>
      <c r="AO99" s="102"/>
      <c r="AP99" s="115">
        <f>IFERROR(VLOOKUP(AN99,'Quy đổi công'!A:D,3,0),0)</f>
        <v>0</v>
      </c>
      <c r="AQ99" s="115">
        <f>IFERROR(VLOOKUP(AN99,'Quy đổi công'!A:D,4,0),0)</f>
        <v>0</v>
      </c>
      <c r="AR99" s="115">
        <f t="shared" si="115"/>
        <v>0</v>
      </c>
      <c r="AS99" s="115">
        <f t="shared" si="160"/>
        <v>0</v>
      </c>
      <c r="AT99" s="115">
        <f t="shared" si="161"/>
        <v>0</v>
      </c>
      <c r="AU99" s="102" t="str">
        <f t="shared" si="116"/>
        <v>Không CC</v>
      </c>
      <c r="AV99" s="102" t="str">
        <f t="shared" si="117"/>
        <v/>
      </c>
      <c r="AW99" s="102" t="str">
        <f t="shared" si="118"/>
        <v/>
      </c>
      <c r="AX99" s="102" t="str">
        <f t="shared" si="119"/>
        <v/>
      </c>
      <c r="AY99" s="102" t="str">
        <f t="shared" si="120"/>
        <v/>
      </c>
      <c r="AZ99" s="102"/>
      <c r="BA99" s="102">
        <f>IF(AV99&lt;&gt;0,COUNTIFS($A$7:A99,A99,$AV$7:AV99,"Quên check in"))
+IF(AW99&lt;&gt;0,COUNTIFS($A$7:A99,A99,$AW$7:AW99,"Quên check in"))
+IF(AX99&lt;&gt;0,COUNTIFS($A$7:A99,A99,$AX$7:AX99,"Quên check out"))
+IF(AY99&lt;&gt;0,COUNTIFS($A$7:A99,A99,$AY$7:AY99,"Quên check out"))</f>
        <v>0</v>
      </c>
      <c r="BB99" s="143">
        <f t="shared" si="121"/>
        <v>0</v>
      </c>
    </row>
    <row r="100" spans="1:54" s="83" customFormat="1" ht="14.1" customHeight="1" x14ac:dyDescent="0.3">
      <c r="A100" s="103" t="s">
        <v>7</v>
      </c>
      <c r="B100" s="104" t="s">
        <v>16</v>
      </c>
      <c r="C100" s="105">
        <v>5000000</v>
      </c>
      <c r="D100" s="106">
        <v>43416</v>
      </c>
      <c r="E100" s="107">
        <v>43617</v>
      </c>
      <c r="F100" s="107">
        <v>73415</v>
      </c>
      <c r="G100" s="105">
        <v>26</v>
      </c>
      <c r="H100" s="105">
        <f t="shared" si="149"/>
        <v>1</v>
      </c>
      <c r="I100" s="105">
        <v>1</v>
      </c>
      <c r="J100" s="108">
        <v>43779</v>
      </c>
      <c r="K100" s="108" t="str">
        <f t="shared" si="150"/>
        <v>NV10943779VàoSáng</v>
      </c>
      <c r="L100" s="102">
        <f>IFERROR(VLOOKUP(K100,'1. Vân tay'!$F:$G,2,0),0)</f>
        <v>0</v>
      </c>
      <c r="M100" s="108" t="str">
        <f t="shared" si="151"/>
        <v>NV10943779RaSáng</v>
      </c>
      <c r="N100" s="102">
        <f>IFERROR(VLOOKUP(M100,'1. Vân tay'!$F:$G,2,0),0)</f>
        <v>0</v>
      </c>
      <c r="O100" s="108" t="str">
        <f t="shared" si="152"/>
        <v>NV10943779VàoChiều</v>
      </c>
      <c r="P100" s="102">
        <f>IFERROR(VLOOKUP(O100,'1. Vân tay'!$F:$G,2,0),0)</f>
        <v>0</v>
      </c>
      <c r="Q100" s="108" t="str">
        <f t="shared" si="153"/>
        <v>NV10943779RaChiều</v>
      </c>
      <c r="R100" s="102">
        <f>IFERROR(VLOOKUP(Q100,'1. Vân tay'!$F:$G,2,0),0)</f>
        <v>0</v>
      </c>
      <c r="S100" s="102">
        <f t="shared" si="154"/>
        <v>0</v>
      </c>
      <c r="T100" s="109">
        <v>0.33333333333333331</v>
      </c>
      <c r="U100" s="109">
        <v>0.5</v>
      </c>
      <c r="V100" s="109">
        <v>0.5625</v>
      </c>
      <c r="W100" s="109">
        <v>0.72916666666666663</v>
      </c>
      <c r="X100" s="102">
        <f>HDSD!$F$4</f>
        <v>5</v>
      </c>
      <c r="Y100" s="102">
        <f>SUMIFS('2. Đi muộn về sớm'!$K:$K,
'2. Đi muộn về sớm'!$B:$B,$A100,
'2. Đi muộn về sớm'!$D:$D,$J100)</f>
        <v>0</v>
      </c>
      <c r="Z100" s="110">
        <f t="shared" si="155"/>
        <v>0</v>
      </c>
      <c r="AA100" s="110">
        <f t="shared" si="156"/>
        <v>0</v>
      </c>
      <c r="AB100" s="111">
        <f t="shared" si="157"/>
        <v>0</v>
      </c>
      <c r="AC100" s="112">
        <f t="shared" si="108"/>
        <v>0</v>
      </c>
      <c r="AD100" s="113">
        <f t="shared" si="109"/>
        <v>0</v>
      </c>
      <c r="AE100" s="111">
        <f t="shared" si="158"/>
        <v>0</v>
      </c>
      <c r="AF100" s="113">
        <f t="shared" si="110"/>
        <v>0</v>
      </c>
      <c r="AG100" s="113">
        <f t="shared" si="111"/>
        <v>0</v>
      </c>
      <c r="AH100" s="114">
        <f t="shared" si="148"/>
        <v>0</v>
      </c>
      <c r="AI100" s="102" t="str">
        <f t="shared" si="112"/>
        <v/>
      </c>
      <c r="AJ100" s="102" t="str">
        <f t="shared" si="113"/>
        <v>NV10943779</v>
      </c>
      <c r="AK100" s="102" t="str">
        <f>IF(OR(J100&lt;D100,J100&gt;F100),"",
IFERROR(INDEX('3. Đơn xin nghỉ'!$K:$K,MATCH('4. Tổng hợp dữ liệu'!AJ100,'3. Đơn xin nghỉ'!$I:$I,0),1),
IF(AND(AU100="Không CC",I100&lt;&gt;1),"Ro:8","")))</f>
        <v/>
      </c>
      <c r="AL100" s="102" t="str">
        <f t="shared" si="114"/>
        <v>OFF</v>
      </c>
      <c r="AM100" s="102" t="str">
        <f t="shared" si="159"/>
        <v>OFF</v>
      </c>
      <c r="AN100" s="102" t="s">
        <v>93</v>
      </c>
      <c r="AO100" s="102"/>
      <c r="AP100" s="115">
        <f>IFERROR(VLOOKUP(AN100,'Quy đổi công'!A:D,3,0),0)</f>
        <v>0</v>
      </c>
      <c r="AQ100" s="115">
        <f>IFERROR(VLOOKUP(AN100,'Quy đổi công'!A:D,4,0),0)</f>
        <v>0</v>
      </c>
      <c r="AR100" s="115">
        <f t="shared" si="115"/>
        <v>0</v>
      </c>
      <c r="AS100" s="115">
        <f t="shared" si="160"/>
        <v>0</v>
      </c>
      <c r="AT100" s="115">
        <f t="shared" si="161"/>
        <v>0</v>
      </c>
      <c r="AU100" s="102" t="str">
        <f t="shared" si="116"/>
        <v>Không CC</v>
      </c>
      <c r="AV100" s="102" t="str">
        <f t="shared" si="117"/>
        <v/>
      </c>
      <c r="AW100" s="102" t="str">
        <f t="shared" si="118"/>
        <v/>
      </c>
      <c r="AX100" s="102" t="str">
        <f t="shared" si="119"/>
        <v/>
      </c>
      <c r="AY100" s="102" t="str">
        <f t="shared" si="120"/>
        <v/>
      </c>
      <c r="AZ100" s="102"/>
      <c r="BA100" s="102">
        <f>IF(AV100&lt;&gt;0,COUNTIFS($A$7:A100,A100,$AV$7:AV100,"Quên check in"))
+IF(AW100&lt;&gt;0,COUNTIFS($A$7:A100,A100,$AW$7:AW100,"Quên check in"))
+IF(AX100&lt;&gt;0,COUNTIFS($A$7:A100,A100,$AX$7:AX100,"Quên check out"))
+IF(AY100&lt;&gt;0,COUNTIFS($A$7:A100,A100,$AY$7:AY100,"Quên check out"))</f>
        <v>0</v>
      </c>
      <c r="BB100" s="143">
        <f t="shared" si="121"/>
        <v>0</v>
      </c>
    </row>
    <row r="101" spans="1:54" s="83" customFormat="1" ht="14.1" customHeight="1" x14ac:dyDescent="0.3">
      <c r="A101" s="103" t="s">
        <v>8</v>
      </c>
      <c r="B101" s="104" t="s">
        <v>17</v>
      </c>
      <c r="C101" s="105">
        <v>5000000</v>
      </c>
      <c r="D101" s="106">
        <v>43423</v>
      </c>
      <c r="E101" s="107">
        <v>43617</v>
      </c>
      <c r="F101" s="107">
        <v>73415</v>
      </c>
      <c r="G101" s="105">
        <v>26</v>
      </c>
      <c r="H101" s="105">
        <f t="shared" si="149"/>
        <v>1</v>
      </c>
      <c r="I101" s="105">
        <v>1</v>
      </c>
      <c r="J101" s="108">
        <v>43779</v>
      </c>
      <c r="K101" s="108" t="str">
        <f t="shared" si="150"/>
        <v>NV11343779VàoSáng</v>
      </c>
      <c r="L101" s="102">
        <f>IFERROR(VLOOKUP(K101,'1. Vân tay'!$F:$G,2,0),0)</f>
        <v>0</v>
      </c>
      <c r="M101" s="108" t="str">
        <f t="shared" si="151"/>
        <v>NV11343779RaSáng</v>
      </c>
      <c r="N101" s="102">
        <f>IFERROR(VLOOKUP(M101,'1. Vân tay'!$F:$G,2,0),0)</f>
        <v>0</v>
      </c>
      <c r="O101" s="108" t="str">
        <f t="shared" si="152"/>
        <v>NV11343779VàoChiều</v>
      </c>
      <c r="P101" s="102">
        <f>IFERROR(VLOOKUP(O101,'1. Vân tay'!$F:$G,2,0),0)</f>
        <v>0</v>
      </c>
      <c r="Q101" s="108" t="str">
        <f t="shared" si="153"/>
        <v>NV11343779RaChiều</v>
      </c>
      <c r="R101" s="102">
        <f>IFERROR(VLOOKUP(Q101,'1. Vân tay'!$F:$G,2,0),0)</f>
        <v>0</v>
      </c>
      <c r="S101" s="102">
        <f t="shared" si="154"/>
        <v>0</v>
      </c>
      <c r="T101" s="109">
        <v>0.33333333333333331</v>
      </c>
      <c r="U101" s="109">
        <v>0.5</v>
      </c>
      <c r="V101" s="109">
        <v>0.5625</v>
      </c>
      <c r="W101" s="109">
        <v>0.72916666666666663</v>
      </c>
      <c r="X101" s="102">
        <f>HDSD!$F$4</f>
        <v>5</v>
      </c>
      <c r="Y101" s="102">
        <f>SUMIFS('2. Đi muộn về sớm'!$K:$K,
'2. Đi muộn về sớm'!$B:$B,$A101,
'2. Đi muộn về sớm'!$D:$D,$J101)</f>
        <v>0</v>
      </c>
      <c r="Z101" s="110">
        <f t="shared" si="155"/>
        <v>0</v>
      </c>
      <c r="AA101" s="110">
        <f t="shared" si="156"/>
        <v>0</v>
      </c>
      <c r="AB101" s="111">
        <f t="shared" si="157"/>
        <v>0</v>
      </c>
      <c r="AC101" s="112">
        <f t="shared" si="108"/>
        <v>0</v>
      </c>
      <c r="AD101" s="113">
        <f t="shared" si="109"/>
        <v>0</v>
      </c>
      <c r="AE101" s="111">
        <f t="shared" si="158"/>
        <v>0</v>
      </c>
      <c r="AF101" s="113">
        <f t="shared" si="110"/>
        <v>0</v>
      </c>
      <c r="AG101" s="113">
        <f t="shared" si="111"/>
        <v>0</v>
      </c>
      <c r="AH101" s="114">
        <f t="shared" si="148"/>
        <v>0</v>
      </c>
      <c r="AI101" s="102" t="str">
        <f t="shared" si="112"/>
        <v/>
      </c>
      <c r="AJ101" s="102" t="str">
        <f t="shared" si="113"/>
        <v>NV11343779</v>
      </c>
      <c r="AK101" s="102" t="str">
        <f>IF(OR(J101&lt;D101,J101&gt;F101),"",
IFERROR(INDEX('3. Đơn xin nghỉ'!$K:$K,MATCH('4. Tổng hợp dữ liệu'!AJ101,'3. Đơn xin nghỉ'!$I:$I,0),1),
IF(AND(AU101="Không CC",I101&lt;&gt;1),"Ro:8","")))</f>
        <v/>
      </c>
      <c r="AL101" s="102" t="str">
        <f t="shared" si="114"/>
        <v>OFF</v>
      </c>
      <c r="AM101" s="102" t="str">
        <f t="shared" si="159"/>
        <v>OFF</v>
      </c>
      <c r="AN101" s="102" t="s">
        <v>93</v>
      </c>
      <c r="AO101" s="102"/>
      <c r="AP101" s="115">
        <f>IFERROR(VLOOKUP(AN101,'Quy đổi công'!A:D,3,0),0)</f>
        <v>0</v>
      </c>
      <c r="AQ101" s="115">
        <f>IFERROR(VLOOKUP(AN101,'Quy đổi công'!A:D,4,0),0)</f>
        <v>0</v>
      </c>
      <c r="AR101" s="115">
        <f t="shared" si="115"/>
        <v>0</v>
      </c>
      <c r="AS101" s="115">
        <f t="shared" si="160"/>
        <v>0</v>
      </c>
      <c r="AT101" s="115">
        <f t="shared" si="161"/>
        <v>0</v>
      </c>
      <c r="AU101" s="102" t="str">
        <f t="shared" si="116"/>
        <v>Không CC</v>
      </c>
      <c r="AV101" s="102" t="str">
        <f t="shared" si="117"/>
        <v/>
      </c>
      <c r="AW101" s="102" t="str">
        <f t="shared" si="118"/>
        <v/>
      </c>
      <c r="AX101" s="102" t="str">
        <f t="shared" si="119"/>
        <v/>
      </c>
      <c r="AY101" s="102" t="str">
        <f t="shared" si="120"/>
        <v/>
      </c>
      <c r="AZ101" s="102"/>
      <c r="BA101" s="102">
        <f>IF(AV101&lt;&gt;0,COUNTIFS($A$7:A101,A101,$AV$7:AV101,"Quên check in"))
+IF(AW101&lt;&gt;0,COUNTIFS($A$7:A101,A101,$AW$7:AW101,"Quên check in"))
+IF(AX101&lt;&gt;0,COUNTIFS($A$7:A101,A101,$AX$7:AX101,"Quên check out"))
+IF(AY101&lt;&gt;0,COUNTIFS($A$7:A101,A101,$AY$7:AY101,"Quên check out"))</f>
        <v>1</v>
      </c>
      <c r="BB101" s="143">
        <f t="shared" si="121"/>
        <v>0</v>
      </c>
    </row>
    <row r="102" spans="1:54" s="83" customFormat="1" ht="14.1" customHeight="1" x14ac:dyDescent="0.3">
      <c r="A102" s="103" t="s">
        <v>9</v>
      </c>
      <c r="B102" s="104" t="s">
        <v>18</v>
      </c>
      <c r="C102" s="105">
        <v>4900000</v>
      </c>
      <c r="D102" s="106">
        <v>43437</v>
      </c>
      <c r="E102" s="107">
        <v>43617</v>
      </c>
      <c r="F102" s="107">
        <v>73415</v>
      </c>
      <c r="G102" s="105">
        <v>26</v>
      </c>
      <c r="H102" s="105">
        <f t="shared" si="149"/>
        <v>1</v>
      </c>
      <c r="I102" s="105">
        <v>1</v>
      </c>
      <c r="J102" s="108">
        <v>43779</v>
      </c>
      <c r="K102" s="108" t="str">
        <f t="shared" si="150"/>
        <v>NV11443779VàoSáng</v>
      </c>
      <c r="L102" s="102">
        <f>IFERROR(VLOOKUP(K102,'1. Vân tay'!$F:$G,2,0),0)</f>
        <v>0</v>
      </c>
      <c r="M102" s="108" t="str">
        <f t="shared" si="151"/>
        <v>NV11443779RaSáng</v>
      </c>
      <c r="N102" s="102">
        <f>IFERROR(VLOOKUP(M102,'1. Vân tay'!$F:$G,2,0),0)</f>
        <v>0</v>
      </c>
      <c r="O102" s="108" t="str">
        <f t="shared" si="152"/>
        <v>NV11443779VàoChiều</v>
      </c>
      <c r="P102" s="102">
        <f>IFERROR(VLOOKUP(O102,'1. Vân tay'!$F:$G,2,0),0)</f>
        <v>0</v>
      </c>
      <c r="Q102" s="108" t="str">
        <f t="shared" si="153"/>
        <v>NV11443779RaChiều</v>
      </c>
      <c r="R102" s="102">
        <f>IFERROR(VLOOKUP(Q102,'1. Vân tay'!$F:$G,2,0),0)</f>
        <v>0</v>
      </c>
      <c r="S102" s="102">
        <f t="shared" si="154"/>
        <v>0</v>
      </c>
      <c r="T102" s="109">
        <v>0.33333333333333331</v>
      </c>
      <c r="U102" s="109">
        <v>0.5</v>
      </c>
      <c r="V102" s="109">
        <v>0.5625</v>
      </c>
      <c r="W102" s="109">
        <v>0.72916666666666663</v>
      </c>
      <c r="X102" s="102">
        <f>HDSD!$F$4</f>
        <v>5</v>
      </c>
      <c r="Y102" s="102">
        <f>SUMIFS('2. Đi muộn về sớm'!$K:$K,
'2. Đi muộn về sớm'!$B:$B,$A102,
'2. Đi muộn về sớm'!$D:$D,$J102)</f>
        <v>0</v>
      </c>
      <c r="Z102" s="110">
        <f t="shared" si="155"/>
        <v>0</v>
      </c>
      <c r="AA102" s="110">
        <f t="shared" si="156"/>
        <v>0</v>
      </c>
      <c r="AB102" s="111">
        <f t="shared" si="157"/>
        <v>0</v>
      </c>
      <c r="AC102" s="112">
        <f t="shared" si="108"/>
        <v>0</v>
      </c>
      <c r="AD102" s="113">
        <f t="shared" si="109"/>
        <v>0</v>
      </c>
      <c r="AE102" s="111">
        <f t="shared" si="158"/>
        <v>0</v>
      </c>
      <c r="AF102" s="113">
        <f t="shared" si="110"/>
        <v>0</v>
      </c>
      <c r="AG102" s="113">
        <f t="shared" si="111"/>
        <v>0</v>
      </c>
      <c r="AH102" s="114">
        <f t="shared" si="148"/>
        <v>0</v>
      </c>
      <c r="AI102" s="102" t="str">
        <f t="shared" si="112"/>
        <v/>
      </c>
      <c r="AJ102" s="102" t="str">
        <f t="shared" si="113"/>
        <v>NV11443779</v>
      </c>
      <c r="AK102" s="102" t="str">
        <f>IF(OR(J102&lt;D102,J102&gt;F102),"",
IFERROR(INDEX('3. Đơn xin nghỉ'!$K:$K,MATCH('4. Tổng hợp dữ liệu'!AJ102,'3. Đơn xin nghỉ'!$I:$I,0),1),
IF(AND(AU102="Không CC",I102&lt;&gt;1),"Ro:8","")))</f>
        <v/>
      </c>
      <c r="AL102" s="102" t="str">
        <f t="shared" si="114"/>
        <v>OFF</v>
      </c>
      <c r="AM102" s="102" t="str">
        <f t="shared" si="159"/>
        <v>OFF</v>
      </c>
      <c r="AN102" s="102" t="s">
        <v>93</v>
      </c>
      <c r="AO102" s="102"/>
      <c r="AP102" s="115">
        <f>IFERROR(VLOOKUP(AN102,'Quy đổi công'!A:D,3,0),0)</f>
        <v>0</v>
      </c>
      <c r="AQ102" s="115">
        <f>IFERROR(VLOOKUP(AN102,'Quy đổi công'!A:D,4,0),0)</f>
        <v>0</v>
      </c>
      <c r="AR102" s="115">
        <f t="shared" si="115"/>
        <v>0</v>
      </c>
      <c r="AS102" s="115">
        <f t="shared" si="160"/>
        <v>0</v>
      </c>
      <c r="AT102" s="115">
        <f t="shared" si="161"/>
        <v>0</v>
      </c>
      <c r="AU102" s="102" t="str">
        <f t="shared" si="116"/>
        <v>Không CC</v>
      </c>
      <c r="AV102" s="102" t="str">
        <f t="shared" si="117"/>
        <v/>
      </c>
      <c r="AW102" s="102" t="str">
        <f t="shared" si="118"/>
        <v/>
      </c>
      <c r="AX102" s="102" t="str">
        <f t="shared" si="119"/>
        <v/>
      </c>
      <c r="AY102" s="102" t="str">
        <f t="shared" si="120"/>
        <v/>
      </c>
      <c r="AZ102" s="102"/>
      <c r="BA102" s="102">
        <f>IF(AV102&lt;&gt;0,COUNTIFS($A$7:A102,A102,$AV$7:AV102,"Quên check in"))
+IF(AW102&lt;&gt;0,COUNTIFS($A$7:A102,A102,$AW$7:AW102,"Quên check in"))
+IF(AX102&lt;&gt;0,COUNTIFS($A$7:A102,A102,$AX$7:AX102,"Quên check out"))
+IF(AY102&lt;&gt;0,COUNTIFS($A$7:A102,A102,$AY$7:AY102,"Quên check out"))</f>
        <v>1</v>
      </c>
      <c r="BB102" s="143">
        <f t="shared" si="121"/>
        <v>0</v>
      </c>
    </row>
    <row r="103" spans="1:54" s="83" customFormat="1" ht="14.1" customHeight="1" x14ac:dyDescent="0.3">
      <c r="A103" s="103" t="s">
        <v>10</v>
      </c>
      <c r="B103" s="104" t="s">
        <v>19</v>
      </c>
      <c r="C103" s="105">
        <v>5000000</v>
      </c>
      <c r="D103" s="106">
        <v>43445</v>
      </c>
      <c r="E103" s="107">
        <v>43647</v>
      </c>
      <c r="F103" s="107">
        <v>73415</v>
      </c>
      <c r="G103" s="105">
        <v>26</v>
      </c>
      <c r="H103" s="105">
        <f t="shared" si="149"/>
        <v>1</v>
      </c>
      <c r="I103" s="105">
        <v>1</v>
      </c>
      <c r="J103" s="108">
        <v>43779</v>
      </c>
      <c r="K103" s="108" t="str">
        <f t="shared" si="150"/>
        <v>NV11843779VàoSáng</v>
      </c>
      <c r="L103" s="102">
        <f>IFERROR(VLOOKUP(K103,'1. Vân tay'!$F:$G,2,0),0)</f>
        <v>0</v>
      </c>
      <c r="M103" s="108" t="str">
        <f t="shared" si="151"/>
        <v>NV11843779RaSáng</v>
      </c>
      <c r="N103" s="102">
        <f>IFERROR(VLOOKUP(M103,'1. Vân tay'!$F:$G,2,0),0)</f>
        <v>0</v>
      </c>
      <c r="O103" s="108" t="str">
        <f t="shared" si="152"/>
        <v>NV11843779VàoChiều</v>
      </c>
      <c r="P103" s="102">
        <f>IFERROR(VLOOKUP(O103,'1. Vân tay'!$F:$G,2,0),0)</f>
        <v>0</v>
      </c>
      <c r="Q103" s="108" t="str">
        <f t="shared" si="153"/>
        <v>NV11843779RaChiều</v>
      </c>
      <c r="R103" s="102">
        <f>IFERROR(VLOOKUP(Q103,'1. Vân tay'!$F:$G,2,0),0)</f>
        <v>0</v>
      </c>
      <c r="S103" s="102">
        <f t="shared" si="154"/>
        <v>0</v>
      </c>
      <c r="T103" s="109">
        <v>0.33333333333333331</v>
      </c>
      <c r="U103" s="109">
        <v>0.5</v>
      </c>
      <c r="V103" s="109">
        <v>0.5625</v>
      </c>
      <c r="W103" s="109">
        <v>0.72916666666666663</v>
      </c>
      <c r="X103" s="102">
        <f>HDSD!$F$4</f>
        <v>5</v>
      </c>
      <c r="Y103" s="102">
        <f>SUMIFS('2. Đi muộn về sớm'!$K:$K,
'2. Đi muộn về sớm'!$B:$B,$A103,
'2. Đi muộn về sớm'!$D:$D,$J103)</f>
        <v>0</v>
      </c>
      <c r="Z103" s="110">
        <f t="shared" si="155"/>
        <v>0</v>
      </c>
      <c r="AA103" s="110">
        <f t="shared" si="156"/>
        <v>0</v>
      </c>
      <c r="AB103" s="111">
        <f t="shared" si="157"/>
        <v>0</v>
      </c>
      <c r="AC103" s="112">
        <f t="shared" si="108"/>
        <v>0</v>
      </c>
      <c r="AD103" s="113">
        <f t="shared" si="109"/>
        <v>0</v>
      </c>
      <c r="AE103" s="111">
        <f t="shared" si="158"/>
        <v>0</v>
      </c>
      <c r="AF103" s="113">
        <f t="shared" si="110"/>
        <v>0</v>
      </c>
      <c r="AG103" s="113">
        <f t="shared" si="111"/>
        <v>0</v>
      </c>
      <c r="AH103" s="114">
        <f t="shared" si="148"/>
        <v>0</v>
      </c>
      <c r="AI103" s="102" t="str">
        <f t="shared" si="112"/>
        <v/>
      </c>
      <c r="AJ103" s="102" t="str">
        <f t="shared" si="113"/>
        <v>NV11843779</v>
      </c>
      <c r="AK103" s="102" t="str">
        <f>IF(OR(J103&lt;D103,J103&gt;F103),"",
IFERROR(INDEX('3. Đơn xin nghỉ'!$K:$K,MATCH('4. Tổng hợp dữ liệu'!AJ103,'3. Đơn xin nghỉ'!$I:$I,0),1),
IF(AND(AU103="Không CC",I103&lt;&gt;1),"Ro:8","")))</f>
        <v/>
      </c>
      <c r="AL103" s="102" t="str">
        <f t="shared" si="114"/>
        <v>OFF</v>
      </c>
      <c r="AM103" s="102" t="str">
        <f t="shared" si="159"/>
        <v>OFF</v>
      </c>
      <c r="AN103" s="102" t="s">
        <v>93</v>
      </c>
      <c r="AO103" s="102"/>
      <c r="AP103" s="115">
        <f>IFERROR(VLOOKUP(AN103,'Quy đổi công'!A:D,3,0),0)</f>
        <v>0</v>
      </c>
      <c r="AQ103" s="115">
        <f>IFERROR(VLOOKUP(AN103,'Quy đổi công'!A:D,4,0),0)</f>
        <v>0</v>
      </c>
      <c r="AR103" s="115">
        <f t="shared" si="115"/>
        <v>0</v>
      </c>
      <c r="AS103" s="115">
        <f t="shared" si="160"/>
        <v>0</v>
      </c>
      <c r="AT103" s="115">
        <f t="shared" si="161"/>
        <v>0</v>
      </c>
      <c r="AU103" s="102" t="str">
        <f t="shared" si="116"/>
        <v>Không CC</v>
      </c>
      <c r="AV103" s="102" t="str">
        <f t="shared" si="117"/>
        <v/>
      </c>
      <c r="AW103" s="102" t="str">
        <f t="shared" si="118"/>
        <v/>
      </c>
      <c r="AX103" s="102" t="str">
        <f t="shared" si="119"/>
        <v/>
      </c>
      <c r="AY103" s="102" t="str">
        <f t="shared" si="120"/>
        <v/>
      </c>
      <c r="AZ103" s="102"/>
      <c r="BA103" s="102">
        <f>IF(AV103&lt;&gt;0,COUNTIFS($A$7:A103,A103,$AV$7:AV103,"Quên check in"))
+IF(AW103&lt;&gt;0,COUNTIFS($A$7:A103,A103,$AW$7:AW103,"Quên check in"))
+IF(AX103&lt;&gt;0,COUNTIFS($A$7:A103,A103,$AX$7:AX103,"Quên check out"))
+IF(AY103&lt;&gt;0,COUNTIFS($A$7:A103,A103,$AY$7:AY103,"Quên check out"))</f>
        <v>0</v>
      </c>
      <c r="BB103" s="143">
        <f t="shared" si="121"/>
        <v>0</v>
      </c>
    </row>
    <row r="104" spans="1:54" s="83" customFormat="1" ht="14.1" customHeight="1" x14ac:dyDescent="0.3">
      <c r="A104" s="103" t="s">
        <v>11</v>
      </c>
      <c r="B104" s="104" t="s">
        <v>20</v>
      </c>
      <c r="C104" s="105">
        <v>4700000</v>
      </c>
      <c r="D104" s="106">
        <v>43467</v>
      </c>
      <c r="E104" s="107">
        <v>43617</v>
      </c>
      <c r="F104" s="107">
        <v>73415</v>
      </c>
      <c r="G104" s="105">
        <v>26</v>
      </c>
      <c r="H104" s="105">
        <f t="shared" si="149"/>
        <v>1</v>
      </c>
      <c r="I104" s="105">
        <v>1</v>
      </c>
      <c r="J104" s="108">
        <v>43779</v>
      </c>
      <c r="K104" s="108" t="str">
        <f t="shared" si="150"/>
        <v>NV12243779VàoSáng</v>
      </c>
      <c r="L104" s="102">
        <f>IFERROR(VLOOKUP(K104,'1. Vân tay'!$F:$G,2,0),0)</f>
        <v>0</v>
      </c>
      <c r="M104" s="108" t="str">
        <f t="shared" si="151"/>
        <v>NV12243779RaSáng</v>
      </c>
      <c r="N104" s="102">
        <f>IFERROR(VLOOKUP(M104,'1. Vân tay'!$F:$G,2,0),0)</f>
        <v>0</v>
      </c>
      <c r="O104" s="108" t="str">
        <f t="shared" si="152"/>
        <v>NV12243779VàoChiều</v>
      </c>
      <c r="P104" s="102">
        <f>IFERROR(VLOOKUP(O104,'1. Vân tay'!$F:$G,2,0),0)</f>
        <v>0</v>
      </c>
      <c r="Q104" s="108" t="str">
        <f t="shared" si="153"/>
        <v>NV12243779RaChiều</v>
      </c>
      <c r="R104" s="102">
        <f>IFERROR(VLOOKUP(Q104,'1. Vân tay'!$F:$G,2,0),0)</f>
        <v>0</v>
      </c>
      <c r="S104" s="102">
        <f t="shared" si="154"/>
        <v>0</v>
      </c>
      <c r="T104" s="109">
        <v>0.33333333333333331</v>
      </c>
      <c r="U104" s="109">
        <v>0.5</v>
      </c>
      <c r="V104" s="109">
        <v>0.5625</v>
      </c>
      <c r="W104" s="109">
        <v>0.72916666666666663</v>
      </c>
      <c r="X104" s="102">
        <f>HDSD!$F$4</f>
        <v>5</v>
      </c>
      <c r="Y104" s="102">
        <f>SUMIFS('2. Đi muộn về sớm'!$K:$K,
'2. Đi muộn về sớm'!$B:$B,$A104,
'2. Đi muộn về sớm'!$D:$D,$J104)</f>
        <v>0</v>
      </c>
      <c r="Z104" s="110">
        <f t="shared" si="155"/>
        <v>0</v>
      </c>
      <c r="AA104" s="110">
        <f t="shared" si="156"/>
        <v>0</v>
      </c>
      <c r="AB104" s="111">
        <f t="shared" si="157"/>
        <v>0</v>
      </c>
      <c r="AC104" s="112">
        <f t="shared" si="108"/>
        <v>0</v>
      </c>
      <c r="AD104" s="113">
        <f t="shared" si="109"/>
        <v>0</v>
      </c>
      <c r="AE104" s="111">
        <f t="shared" si="158"/>
        <v>0</v>
      </c>
      <c r="AF104" s="113">
        <f t="shared" si="110"/>
        <v>0</v>
      </c>
      <c r="AG104" s="113">
        <f t="shared" si="111"/>
        <v>0</v>
      </c>
      <c r="AH104" s="114">
        <f t="shared" si="148"/>
        <v>0</v>
      </c>
      <c r="AI104" s="102" t="str">
        <f t="shared" si="112"/>
        <v/>
      </c>
      <c r="AJ104" s="102" t="str">
        <f t="shared" si="113"/>
        <v>NV12243779</v>
      </c>
      <c r="AK104" s="102" t="str">
        <f>IF(OR(J104&lt;D104,J104&gt;F104),"",
IFERROR(INDEX('3. Đơn xin nghỉ'!$K:$K,MATCH('4. Tổng hợp dữ liệu'!AJ104,'3. Đơn xin nghỉ'!$I:$I,0),1),
IF(AND(AU104="Không CC",I104&lt;&gt;1),"Ro:8","")))</f>
        <v/>
      </c>
      <c r="AL104" s="102" t="str">
        <f t="shared" si="114"/>
        <v>OFF</v>
      </c>
      <c r="AM104" s="102" t="str">
        <f t="shared" si="159"/>
        <v>OFF</v>
      </c>
      <c r="AN104" s="102" t="s">
        <v>93</v>
      </c>
      <c r="AO104" s="102"/>
      <c r="AP104" s="115">
        <f>IFERROR(VLOOKUP(AN104,'Quy đổi công'!A:D,3,0),0)</f>
        <v>0</v>
      </c>
      <c r="AQ104" s="115">
        <f>IFERROR(VLOOKUP(AN104,'Quy đổi công'!A:D,4,0),0)</f>
        <v>0</v>
      </c>
      <c r="AR104" s="115">
        <f t="shared" si="115"/>
        <v>0</v>
      </c>
      <c r="AS104" s="115">
        <f t="shared" si="160"/>
        <v>0</v>
      </c>
      <c r="AT104" s="115">
        <f t="shared" si="161"/>
        <v>0</v>
      </c>
      <c r="AU104" s="102" t="str">
        <f t="shared" si="116"/>
        <v>Không CC</v>
      </c>
      <c r="AV104" s="102" t="str">
        <f t="shared" si="117"/>
        <v/>
      </c>
      <c r="AW104" s="102" t="str">
        <f t="shared" si="118"/>
        <v/>
      </c>
      <c r="AX104" s="102" t="str">
        <f t="shared" si="119"/>
        <v/>
      </c>
      <c r="AY104" s="102" t="str">
        <f t="shared" si="120"/>
        <v/>
      </c>
      <c r="AZ104" s="102"/>
      <c r="BA104" s="102">
        <f>IF(AV104&lt;&gt;0,COUNTIFS($A$7:A104,A104,$AV$7:AV104,"Quên check in"))
+IF(AW104&lt;&gt;0,COUNTIFS($A$7:A104,A104,$AW$7:AW104,"Quên check in"))
+IF(AX104&lt;&gt;0,COUNTIFS($A$7:A104,A104,$AX$7:AX104,"Quên check out"))
+IF(AY104&lt;&gt;0,COUNTIFS($A$7:A104,A104,$AY$7:AY104,"Quên check out"))</f>
        <v>1</v>
      </c>
      <c r="BB104" s="143">
        <f t="shared" si="121"/>
        <v>0</v>
      </c>
    </row>
    <row r="105" spans="1:54" s="83" customFormat="1" ht="14.1" customHeight="1" x14ac:dyDescent="0.3">
      <c r="A105" s="103" t="s">
        <v>12</v>
      </c>
      <c r="B105" s="104" t="s">
        <v>21</v>
      </c>
      <c r="C105" s="105">
        <v>5000000</v>
      </c>
      <c r="D105" s="106">
        <v>43482</v>
      </c>
      <c r="E105" s="107">
        <v>43647</v>
      </c>
      <c r="F105" s="107">
        <v>73415</v>
      </c>
      <c r="G105" s="105">
        <v>26</v>
      </c>
      <c r="H105" s="105">
        <f t="shared" si="149"/>
        <v>1</v>
      </c>
      <c r="I105" s="105">
        <v>1</v>
      </c>
      <c r="J105" s="108">
        <v>43779</v>
      </c>
      <c r="K105" s="108" t="str">
        <f t="shared" si="150"/>
        <v>NV12343779VàoSáng</v>
      </c>
      <c r="L105" s="102">
        <f>IFERROR(VLOOKUP(K105,'1. Vân tay'!$F:$G,2,0),0)</f>
        <v>0</v>
      </c>
      <c r="M105" s="108" t="str">
        <f t="shared" si="151"/>
        <v>NV12343779RaSáng</v>
      </c>
      <c r="N105" s="102">
        <f>IFERROR(VLOOKUP(M105,'1. Vân tay'!$F:$G,2,0),0)</f>
        <v>0</v>
      </c>
      <c r="O105" s="108" t="str">
        <f t="shared" si="152"/>
        <v>NV12343779VàoChiều</v>
      </c>
      <c r="P105" s="102">
        <f>IFERROR(VLOOKUP(O105,'1. Vân tay'!$F:$G,2,0),0)</f>
        <v>0</v>
      </c>
      <c r="Q105" s="108" t="str">
        <f t="shared" si="153"/>
        <v>NV12343779RaChiều</v>
      </c>
      <c r="R105" s="102">
        <f>IFERROR(VLOOKUP(Q105,'1. Vân tay'!$F:$G,2,0),0)</f>
        <v>0</v>
      </c>
      <c r="S105" s="102">
        <f t="shared" si="154"/>
        <v>0</v>
      </c>
      <c r="T105" s="109">
        <v>0.33333333333333331</v>
      </c>
      <c r="U105" s="109">
        <v>0.5</v>
      </c>
      <c r="V105" s="109">
        <v>0.5625</v>
      </c>
      <c r="W105" s="109">
        <v>0.72916666666666663</v>
      </c>
      <c r="X105" s="102">
        <f>HDSD!$F$4</f>
        <v>5</v>
      </c>
      <c r="Y105" s="102">
        <f>SUMIFS('2. Đi muộn về sớm'!$K:$K,
'2. Đi muộn về sớm'!$B:$B,$A105,
'2. Đi muộn về sớm'!$D:$D,$J105)</f>
        <v>0</v>
      </c>
      <c r="Z105" s="110">
        <f t="shared" si="155"/>
        <v>0</v>
      </c>
      <c r="AA105" s="110">
        <f t="shared" si="156"/>
        <v>0</v>
      </c>
      <c r="AB105" s="111">
        <f t="shared" si="157"/>
        <v>0</v>
      </c>
      <c r="AC105" s="112">
        <f t="shared" si="108"/>
        <v>0</v>
      </c>
      <c r="AD105" s="113">
        <f t="shared" si="109"/>
        <v>0</v>
      </c>
      <c r="AE105" s="111">
        <f t="shared" si="158"/>
        <v>0</v>
      </c>
      <c r="AF105" s="113">
        <f t="shared" si="110"/>
        <v>0</v>
      </c>
      <c r="AG105" s="113">
        <f t="shared" si="111"/>
        <v>0</v>
      </c>
      <c r="AH105" s="114">
        <f t="shared" si="148"/>
        <v>0</v>
      </c>
      <c r="AI105" s="102" t="str">
        <f t="shared" si="112"/>
        <v/>
      </c>
      <c r="AJ105" s="102" t="str">
        <f t="shared" si="113"/>
        <v>NV12343779</v>
      </c>
      <c r="AK105" s="102" t="str">
        <f>IF(OR(J105&lt;D105,J105&gt;F105),"",
IFERROR(INDEX('3. Đơn xin nghỉ'!$K:$K,MATCH('4. Tổng hợp dữ liệu'!AJ105,'3. Đơn xin nghỉ'!$I:$I,0),1),
IF(AND(AU105="Không CC",I105&lt;&gt;1),"Ro:8","")))</f>
        <v/>
      </c>
      <c r="AL105" s="102" t="str">
        <f t="shared" si="114"/>
        <v>OFF</v>
      </c>
      <c r="AM105" s="102" t="str">
        <f t="shared" si="159"/>
        <v>OFF</v>
      </c>
      <c r="AN105" s="102" t="s">
        <v>93</v>
      </c>
      <c r="AO105" s="102"/>
      <c r="AP105" s="115">
        <f>IFERROR(VLOOKUP(AN105,'Quy đổi công'!A:D,3,0),0)</f>
        <v>0</v>
      </c>
      <c r="AQ105" s="115">
        <f>IFERROR(VLOOKUP(AN105,'Quy đổi công'!A:D,4,0),0)</f>
        <v>0</v>
      </c>
      <c r="AR105" s="115">
        <f t="shared" si="115"/>
        <v>0</v>
      </c>
      <c r="AS105" s="115">
        <f t="shared" si="160"/>
        <v>0</v>
      </c>
      <c r="AT105" s="115">
        <f t="shared" si="161"/>
        <v>0</v>
      </c>
      <c r="AU105" s="102" t="str">
        <f t="shared" si="116"/>
        <v>Không CC</v>
      </c>
      <c r="AV105" s="102" t="str">
        <f t="shared" si="117"/>
        <v/>
      </c>
      <c r="AW105" s="102" t="str">
        <f t="shared" si="118"/>
        <v/>
      </c>
      <c r="AX105" s="102" t="str">
        <f t="shared" si="119"/>
        <v/>
      </c>
      <c r="AY105" s="102" t="str">
        <f t="shared" si="120"/>
        <v/>
      </c>
      <c r="AZ105" s="102"/>
      <c r="BA105" s="102">
        <f>IF(AV105&lt;&gt;0,COUNTIFS($A$7:A105,A105,$AV$7:AV105,"Quên check in"))
+IF(AW105&lt;&gt;0,COUNTIFS($A$7:A105,A105,$AW$7:AW105,"Quên check in"))
+IF(AX105&lt;&gt;0,COUNTIFS($A$7:A105,A105,$AX$7:AX105,"Quên check out"))
+IF(AY105&lt;&gt;0,COUNTIFS($A$7:A105,A105,$AY$7:AY105,"Quên check out"))</f>
        <v>0</v>
      </c>
      <c r="BB105" s="143">
        <f t="shared" si="121"/>
        <v>0</v>
      </c>
    </row>
    <row r="106" spans="1:54" s="83" customFormat="1" ht="14.1" customHeight="1" x14ac:dyDescent="0.3">
      <c r="A106" s="103" t="s">
        <v>13</v>
      </c>
      <c r="B106" s="104" t="s">
        <v>22</v>
      </c>
      <c r="C106" s="105">
        <v>4700000</v>
      </c>
      <c r="D106" s="106">
        <v>43531</v>
      </c>
      <c r="E106" s="107">
        <v>43647</v>
      </c>
      <c r="F106" s="107">
        <v>73415</v>
      </c>
      <c r="G106" s="105">
        <v>26</v>
      </c>
      <c r="H106" s="105">
        <f t="shared" si="149"/>
        <v>1</v>
      </c>
      <c r="I106" s="105">
        <v>1</v>
      </c>
      <c r="J106" s="108">
        <v>43779</v>
      </c>
      <c r="K106" s="108" t="str">
        <f t="shared" si="150"/>
        <v>NV12643779VàoSáng</v>
      </c>
      <c r="L106" s="102">
        <f>IFERROR(VLOOKUP(K106,'1. Vân tay'!$F:$G,2,0),0)</f>
        <v>0</v>
      </c>
      <c r="M106" s="108" t="str">
        <f t="shared" si="151"/>
        <v>NV12643779RaSáng</v>
      </c>
      <c r="N106" s="102">
        <f>IFERROR(VLOOKUP(M106,'1. Vân tay'!$F:$G,2,0),0)</f>
        <v>0</v>
      </c>
      <c r="O106" s="108" t="str">
        <f t="shared" si="152"/>
        <v>NV12643779VàoChiều</v>
      </c>
      <c r="P106" s="102">
        <f>IFERROR(VLOOKUP(O106,'1. Vân tay'!$F:$G,2,0),0)</f>
        <v>0</v>
      </c>
      <c r="Q106" s="108" t="str">
        <f t="shared" si="153"/>
        <v>NV12643779RaChiều</v>
      </c>
      <c r="R106" s="102">
        <f>IFERROR(VLOOKUP(Q106,'1. Vân tay'!$F:$G,2,0),0)</f>
        <v>0</v>
      </c>
      <c r="S106" s="102">
        <f t="shared" si="154"/>
        <v>0</v>
      </c>
      <c r="T106" s="109">
        <v>0.33333333333333331</v>
      </c>
      <c r="U106" s="109">
        <v>0.5</v>
      </c>
      <c r="V106" s="109">
        <v>0.5625</v>
      </c>
      <c r="W106" s="109">
        <v>0.72916666666666663</v>
      </c>
      <c r="X106" s="102">
        <f>HDSD!$F$4</f>
        <v>5</v>
      </c>
      <c r="Y106" s="102">
        <f>SUMIFS('2. Đi muộn về sớm'!$K:$K,
'2. Đi muộn về sớm'!$B:$B,$A106,
'2. Đi muộn về sớm'!$D:$D,$J106)</f>
        <v>0</v>
      </c>
      <c r="Z106" s="110">
        <f t="shared" si="155"/>
        <v>0</v>
      </c>
      <c r="AA106" s="110">
        <f t="shared" si="156"/>
        <v>0</v>
      </c>
      <c r="AB106" s="111">
        <f t="shared" si="157"/>
        <v>0</v>
      </c>
      <c r="AC106" s="112">
        <f t="shared" si="108"/>
        <v>0</v>
      </c>
      <c r="AD106" s="113">
        <f t="shared" si="109"/>
        <v>0</v>
      </c>
      <c r="AE106" s="111">
        <f t="shared" si="158"/>
        <v>0</v>
      </c>
      <c r="AF106" s="113">
        <f t="shared" si="110"/>
        <v>0</v>
      </c>
      <c r="AG106" s="113">
        <f t="shared" si="111"/>
        <v>0</v>
      </c>
      <c r="AH106" s="114">
        <f t="shared" si="148"/>
        <v>0</v>
      </c>
      <c r="AI106" s="102" t="str">
        <f t="shared" si="112"/>
        <v/>
      </c>
      <c r="AJ106" s="102" t="str">
        <f t="shared" si="113"/>
        <v>NV12643779</v>
      </c>
      <c r="AK106" s="102" t="str">
        <f>IF(OR(J106&lt;D106,J106&gt;F106),"",
IFERROR(INDEX('3. Đơn xin nghỉ'!$K:$K,MATCH('4. Tổng hợp dữ liệu'!AJ106,'3. Đơn xin nghỉ'!$I:$I,0),1),
IF(AND(AU106="Không CC",I106&lt;&gt;1),"Ro:8","")))</f>
        <v/>
      </c>
      <c r="AL106" s="102" t="str">
        <f t="shared" si="114"/>
        <v>OFF</v>
      </c>
      <c r="AM106" s="102" t="str">
        <f t="shared" si="159"/>
        <v>OFF</v>
      </c>
      <c r="AN106" s="102" t="s">
        <v>93</v>
      </c>
      <c r="AO106" s="102"/>
      <c r="AP106" s="115">
        <f>IFERROR(VLOOKUP(AN106,'Quy đổi công'!A:D,3,0),0)</f>
        <v>0</v>
      </c>
      <c r="AQ106" s="115">
        <f>IFERROR(VLOOKUP(AN106,'Quy đổi công'!A:D,4,0),0)</f>
        <v>0</v>
      </c>
      <c r="AR106" s="115">
        <f t="shared" si="115"/>
        <v>0</v>
      </c>
      <c r="AS106" s="115">
        <f t="shared" si="160"/>
        <v>0</v>
      </c>
      <c r="AT106" s="115">
        <f t="shared" si="161"/>
        <v>0</v>
      </c>
      <c r="AU106" s="102" t="str">
        <f t="shared" si="116"/>
        <v>Không CC</v>
      </c>
      <c r="AV106" s="102" t="str">
        <f t="shared" si="117"/>
        <v/>
      </c>
      <c r="AW106" s="102" t="str">
        <f t="shared" si="118"/>
        <v/>
      </c>
      <c r="AX106" s="102" t="str">
        <f t="shared" si="119"/>
        <v/>
      </c>
      <c r="AY106" s="102" t="str">
        <f t="shared" si="120"/>
        <v/>
      </c>
      <c r="AZ106" s="102"/>
      <c r="BA106" s="102">
        <f>IF(AV106&lt;&gt;0,COUNTIFS($A$7:A106,A106,$AV$7:AV106,"Quên check in"))
+IF(AW106&lt;&gt;0,COUNTIFS($A$7:A106,A106,$AW$7:AW106,"Quên check in"))
+IF(AX106&lt;&gt;0,COUNTIFS($A$7:A106,A106,$AX$7:AX106,"Quên check out"))
+IF(AY106&lt;&gt;0,COUNTIFS($A$7:A106,A106,$AY$7:AY106,"Quên check out"))</f>
        <v>0</v>
      </c>
      <c r="BB106" s="143">
        <f t="shared" si="121"/>
        <v>0</v>
      </c>
    </row>
    <row r="107" spans="1:54" s="83" customFormat="1" ht="14.1" customHeight="1" x14ac:dyDescent="0.3">
      <c r="A107" s="103" t="s">
        <v>4</v>
      </c>
      <c r="B107" s="104" t="s">
        <v>14</v>
      </c>
      <c r="C107" s="105">
        <v>4700000</v>
      </c>
      <c r="D107" s="106">
        <v>43388</v>
      </c>
      <c r="E107" s="107">
        <v>43525</v>
      </c>
      <c r="F107" s="107">
        <v>73415</v>
      </c>
      <c r="G107" s="105">
        <v>26</v>
      </c>
      <c r="H107" s="105">
        <f t="shared" ref="H107:H116" si="162">WEEKDAY(J107,1)</f>
        <v>2</v>
      </c>
      <c r="I107" s="105"/>
      <c r="J107" s="108">
        <v>43780</v>
      </c>
      <c r="K107" s="108" t="str">
        <f t="shared" ref="K107:K116" si="163">$A107&amp;$J107&amp;"Vào"&amp;"Sáng"</f>
        <v>NV10143780VàoSáng</v>
      </c>
      <c r="L107" s="102" t="str">
        <f>IFERROR(VLOOKUP(K107,'1. Vân tay'!$F:$G,2,0),0)</f>
        <v>08:07:06</v>
      </c>
      <c r="M107" s="108" t="str">
        <f t="shared" ref="M107:M116" si="164">$A107&amp;$J107&amp;"Ra"&amp;"Sáng"</f>
        <v>NV10143780RaSáng</v>
      </c>
      <c r="N107" s="102">
        <f>IFERROR(VLOOKUP(M107,'1. Vân tay'!$F:$G,2,0),0)</f>
        <v>0</v>
      </c>
      <c r="O107" s="108" t="str">
        <f t="shared" ref="O107:O116" si="165">$A107&amp;$J107&amp;"Vào"&amp;"Chiều"</f>
        <v>NV10143780VàoChiều</v>
      </c>
      <c r="P107" s="102">
        <f>IFERROR(VLOOKUP(O107,'1. Vân tay'!$F:$G,2,0),0)</f>
        <v>0</v>
      </c>
      <c r="Q107" s="108" t="str">
        <f t="shared" ref="Q107:Q116" si="166">$A107&amp;$J107&amp;"Ra"&amp;"Chiều"</f>
        <v>NV10143780RaChiều</v>
      </c>
      <c r="R107" s="102" t="str">
        <f>IFERROR(VLOOKUP(Q107,'1. Vân tay'!$F:$G,2,0),0)</f>
        <v>17:32:38</v>
      </c>
      <c r="S107" s="102">
        <f t="shared" ref="S107:S116" si="167">IF(OR(
(AND(L107&lt;&gt;0,P107&lt;&gt;0)),
(AND(N107&lt;&gt;0,R107&lt;&gt;0))),"Kiểm tra",0)</f>
        <v>0</v>
      </c>
      <c r="T107" s="109">
        <v>0.33333333333333331</v>
      </c>
      <c r="U107" s="109">
        <v>0.5</v>
      </c>
      <c r="V107" s="109">
        <v>0.5625</v>
      </c>
      <c r="W107" s="109">
        <v>0.72916666666666663</v>
      </c>
      <c r="X107" s="102">
        <f>HDSD!$F$4</f>
        <v>5</v>
      </c>
      <c r="Y107" s="102">
        <f>SUMIFS('2. Đi muộn về sớm'!$K:$K,
'2. Đi muộn về sớm'!$B:$B,$A107,
'2. Đi muộn về sớm'!$D:$D,$J107)</f>
        <v>0</v>
      </c>
      <c r="Z107" s="110">
        <f t="shared" ref="Z107:Z116" si="168">IF(L107=0,0,IFERROR((HOUR(L107-T107)*60+MINUTE(L107-T107)+SECOND(L107-T107)/60),0))
+IF(N107=0,0, IFERROR((HOUR(U107-N107)*60+MINUTE(U107-N107)+SECOND(U107-N107)/60),0))
+IF(P107=0,0, IFERROR((HOUR(P107-V107)*60+MINUTE(P107-V107)+SECOND(P107-V107)/60),0))
+IF(R107=0,0, IFERROR((HOUR(W107-R107)*60+MINUTE(W107-R107)+SECOND(W107-R107)/60),0))</f>
        <v>7.1</v>
      </c>
      <c r="AA107" s="110">
        <f t="shared" ref="AA107:AA116" si="169">IF(L107=0,0,IFERROR((HOUR(L107-"09:00:00")*60+MINUTE(L107-"09:00:00")+SECOND(L107-"09:00:00")/60),0))
+IF(N107=0,0, IFERROR((HOUR(U107-N107)*60+MINUTE(U107-N107)+SECOND(U107-N107)/60),0))
+IF(P107=0,0, IFERROR((HOUR(P107-V107)*60+MINUTE(P107-V107)+SECOND(P107-V107)/60),0))
+IF(R107=0,0, IFERROR((HOUR("16:30:00"-R107)*60+MINUTE("16:30:00"-R107)+SECOND("16:30:00"-R107)/60),0))</f>
        <v>0</v>
      </c>
      <c r="AB107" s="111">
        <f t="shared" ref="AB107:AB116" si="170">Z107-AA107</f>
        <v>7.1</v>
      </c>
      <c r="AC107" s="112">
        <f t="shared" si="108"/>
        <v>2.0999999999999996</v>
      </c>
      <c r="AD107" s="113">
        <f t="shared" si="109"/>
        <v>4199.9999999999991</v>
      </c>
      <c r="AE107" s="111">
        <f t="shared" ref="AE107:AE116" si="171">AA107/60/8</f>
        <v>0</v>
      </c>
      <c r="AF107" s="113">
        <f t="shared" si="110"/>
        <v>0</v>
      </c>
      <c r="AG107" s="113">
        <f t="shared" si="111"/>
        <v>4199.9999999999991</v>
      </c>
      <c r="AH107" s="114">
        <f t="shared" si="148"/>
        <v>9.4255555555555546</v>
      </c>
      <c r="AI107" s="102" t="str">
        <f t="shared" si="112"/>
        <v>X:8</v>
      </c>
      <c r="AJ107" s="102" t="str">
        <f t="shared" si="113"/>
        <v>NV10143780</v>
      </c>
      <c r="AK107" s="102" t="str">
        <f>IF(OR(J107&lt;D107,J107&gt;F107),"",
IFERROR(INDEX('3. Đơn xin nghỉ'!$K:$K,MATCH('4. Tổng hợp dữ liệu'!AJ107,'3. Đơn xin nghỉ'!$I:$I,0),1),
IF(AND(AU107="Không CC",I107&lt;&gt;1),"Ro:8","")))</f>
        <v/>
      </c>
      <c r="AL107" s="102" t="str">
        <f t="shared" si="114"/>
        <v/>
      </c>
      <c r="AM107" s="102" t="str">
        <f t="shared" ref="AM107:AM116" si="172">IF(OR(AI107="",AK107=""),AI107&amp;AK107,AI107&amp;","&amp;AK107)&amp;AL107</f>
        <v>X:8</v>
      </c>
      <c r="AN107" s="102" t="s">
        <v>92</v>
      </c>
      <c r="AO107" s="102"/>
      <c r="AP107" s="115">
        <f>IFERROR(VLOOKUP(AN107,'Quy đổi công'!A:D,3,0),0)</f>
        <v>1</v>
      </c>
      <c r="AQ107" s="115">
        <f>IFERROR(VLOOKUP(AN107,'Quy đổi công'!A:D,4,0),0)</f>
        <v>0</v>
      </c>
      <c r="AR107" s="115">
        <f t="shared" si="115"/>
        <v>0</v>
      </c>
      <c r="AS107" s="115">
        <f t="shared" ref="AS107:AS116" si="173">AP107-AR107</f>
        <v>1</v>
      </c>
      <c r="AT107" s="115">
        <f t="shared" ref="AT107:AT116" si="174">IF(AN107="P8",1)
+IF(OR(AN107="X:4,P:4",AN107="P:4,Rv:4",AN107="P:4,Ro:4"),1/2)</f>
        <v>0</v>
      </c>
      <c r="AU107" s="102" t="str">
        <f t="shared" si="116"/>
        <v/>
      </c>
      <c r="AV107" s="102" t="str">
        <f t="shared" si="117"/>
        <v/>
      </c>
      <c r="AW107" s="102" t="str">
        <f t="shared" si="118"/>
        <v/>
      </c>
      <c r="AX107" s="102" t="str">
        <f t="shared" si="119"/>
        <v/>
      </c>
      <c r="AY107" s="102" t="str">
        <f t="shared" si="120"/>
        <v/>
      </c>
      <c r="AZ107" s="102"/>
      <c r="BA107" s="102">
        <f>IF(AV107&lt;&gt;0,COUNTIFS($A$7:A107,A107,$AV$7:AV107,"Quên check in"))
+IF(AW107&lt;&gt;0,COUNTIFS($A$7:A107,A107,$AW$7:AW107,"Quên check in"))
+IF(AX107&lt;&gt;0,COUNTIFS($A$7:A107,A107,$AX$7:AX107,"Quên check out"))
+IF(AY107&lt;&gt;0,COUNTIFS($A$7:A107,A107,$AY$7:AY107,"Quên check out"))</f>
        <v>0</v>
      </c>
      <c r="BB107" s="143">
        <f t="shared" si="121"/>
        <v>0</v>
      </c>
    </row>
    <row r="108" spans="1:54" s="83" customFormat="1" ht="14.1" customHeight="1" x14ac:dyDescent="0.3">
      <c r="A108" s="103" t="s">
        <v>5</v>
      </c>
      <c r="B108" s="104" t="s">
        <v>28</v>
      </c>
      <c r="C108" s="105">
        <v>10000000</v>
      </c>
      <c r="D108" s="106">
        <v>43409</v>
      </c>
      <c r="E108" s="107">
        <v>43678</v>
      </c>
      <c r="F108" s="107">
        <v>73415</v>
      </c>
      <c r="G108" s="105">
        <v>26</v>
      </c>
      <c r="H108" s="105">
        <f t="shared" si="162"/>
        <v>2</v>
      </c>
      <c r="I108" s="105"/>
      <c r="J108" s="108">
        <v>43780</v>
      </c>
      <c r="K108" s="108" t="str">
        <f t="shared" si="163"/>
        <v>NV10743780VàoSáng</v>
      </c>
      <c r="L108" s="102" t="str">
        <f>IFERROR(VLOOKUP(K108,'1. Vân tay'!$F:$G,2,0),0)</f>
        <v>08:00:25</v>
      </c>
      <c r="M108" s="108" t="str">
        <f t="shared" si="164"/>
        <v>NV10743780RaSáng</v>
      </c>
      <c r="N108" s="102">
        <f>IFERROR(VLOOKUP(M108,'1. Vân tay'!$F:$G,2,0),0)</f>
        <v>0</v>
      </c>
      <c r="O108" s="108" t="str">
        <f t="shared" si="165"/>
        <v>NV10743780VàoChiều</v>
      </c>
      <c r="P108" s="102">
        <f>IFERROR(VLOOKUP(O108,'1. Vân tay'!$F:$G,2,0),0)</f>
        <v>0</v>
      </c>
      <c r="Q108" s="108" t="str">
        <f t="shared" si="166"/>
        <v>NV10743780RaChiều</v>
      </c>
      <c r="R108" s="102" t="str">
        <f>IFERROR(VLOOKUP(Q108,'1. Vân tay'!$F:$G,2,0),0)</f>
        <v>17:30:31</v>
      </c>
      <c r="S108" s="102">
        <f t="shared" si="167"/>
        <v>0</v>
      </c>
      <c r="T108" s="109">
        <v>0.33333333333333331</v>
      </c>
      <c r="U108" s="109">
        <v>0.5</v>
      </c>
      <c r="V108" s="109">
        <v>0.5625</v>
      </c>
      <c r="W108" s="109">
        <v>0.72916666666666663</v>
      </c>
      <c r="X108" s="102">
        <f>HDSD!$F$4</f>
        <v>5</v>
      </c>
      <c r="Y108" s="102">
        <f>SUMIFS('2. Đi muộn về sớm'!$K:$K,
'2. Đi muộn về sớm'!$B:$B,$A108,
'2. Đi muộn về sớm'!$D:$D,$J108)</f>
        <v>0</v>
      </c>
      <c r="Z108" s="110">
        <f t="shared" si="168"/>
        <v>0.41666666666666669</v>
      </c>
      <c r="AA108" s="110">
        <f t="shared" si="169"/>
        <v>0</v>
      </c>
      <c r="AB108" s="111">
        <f t="shared" si="170"/>
        <v>0.41666666666666669</v>
      </c>
      <c r="AC108" s="112">
        <f t="shared" si="108"/>
        <v>0</v>
      </c>
      <c r="AD108" s="113">
        <f t="shared" si="109"/>
        <v>0</v>
      </c>
      <c r="AE108" s="111">
        <f t="shared" si="171"/>
        <v>0</v>
      </c>
      <c r="AF108" s="113">
        <f t="shared" si="110"/>
        <v>0</v>
      </c>
      <c r="AG108" s="113">
        <f t="shared" si="111"/>
        <v>0</v>
      </c>
      <c r="AH108" s="114">
        <f t="shared" si="148"/>
        <v>9.5016666666666669</v>
      </c>
      <c r="AI108" s="102" t="str">
        <f t="shared" si="112"/>
        <v>X:8</v>
      </c>
      <c r="AJ108" s="102" t="str">
        <f t="shared" si="113"/>
        <v>NV10743780</v>
      </c>
      <c r="AK108" s="102" t="str">
        <f>IF(OR(J108&lt;D108,J108&gt;F108),"",
IFERROR(INDEX('3. Đơn xin nghỉ'!$K:$K,MATCH('4. Tổng hợp dữ liệu'!AJ108,'3. Đơn xin nghỉ'!$I:$I,0),1),
IF(AND(AU108="Không CC",I108&lt;&gt;1),"Ro:8","")))</f>
        <v/>
      </c>
      <c r="AL108" s="102" t="str">
        <f t="shared" si="114"/>
        <v/>
      </c>
      <c r="AM108" s="102" t="str">
        <f t="shared" si="172"/>
        <v>X:8</v>
      </c>
      <c r="AN108" s="102" t="s">
        <v>92</v>
      </c>
      <c r="AO108" s="102"/>
      <c r="AP108" s="115">
        <f>IFERROR(VLOOKUP(AN108,'Quy đổi công'!A:D,3,0),0)</f>
        <v>1</v>
      </c>
      <c r="AQ108" s="115">
        <f>IFERROR(VLOOKUP(AN108,'Quy đổi công'!A:D,4,0),0)</f>
        <v>0</v>
      </c>
      <c r="AR108" s="115">
        <f t="shared" si="115"/>
        <v>0</v>
      </c>
      <c r="AS108" s="115">
        <f t="shared" si="173"/>
        <v>1</v>
      </c>
      <c r="AT108" s="115">
        <f t="shared" si="174"/>
        <v>0</v>
      </c>
      <c r="AU108" s="102" t="str">
        <f t="shared" si="116"/>
        <v/>
      </c>
      <c r="AV108" s="102" t="str">
        <f t="shared" si="117"/>
        <v/>
      </c>
      <c r="AW108" s="102" t="str">
        <f t="shared" si="118"/>
        <v/>
      </c>
      <c r="AX108" s="102" t="str">
        <f t="shared" si="119"/>
        <v/>
      </c>
      <c r="AY108" s="102" t="str">
        <f t="shared" si="120"/>
        <v/>
      </c>
      <c r="AZ108" s="102"/>
      <c r="BA108" s="102">
        <f>IF(AV108&lt;&gt;0,COUNTIFS($A$7:A108,A108,$AV$7:AV108,"Quên check in"))
+IF(AW108&lt;&gt;0,COUNTIFS($A$7:A108,A108,$AW$7:AW108,"Quên check in"))
+IF(AX108&lt;&gt;0,COUNTIFS($A$7:A108,A108,$AX$7:AX108,"Quên check out"))
+IF(AY108&lt;&gt;0,COUNTIFS($A$7:A108,A108,$AY$7:AY108,"Quên check out"))</f>
        <v>1</v>
      </c>
      <c r="BB108" s="143">
        <f t="shared" si="121"/>
        <v>0</v>
      </c>
    </row>
    <row r="109" spans="1:54" s="83" customFormat="1" ht="14.1" customHeight="1" x14ac:dyDescent="0.3">
      <c r="A109" s="103" t="s">
        <v>6</v>
      </c>
      <c r="B109" s="104" t="s">
        <v>15</v>
      </c>
      <c r="C109" s="105">
        <v>4700000</v>
      </c>
      <c r="D109" s="106">
        <v>43409</v>
      </c>
      <c r="E109" s="107">
        <v>43617</v>
      </c>
      <c r="F109" s="107">
        <v>73415</v>
      </c>
      <c r="G109" s="105">
        <v>26</v>
      </c>
      <c r="H109" s="105">
        <f t="shared" si="162"/>
        <v>2</v>
      </c>
      <c r="I109" s="105"/>
      <c r="J109" s="108">
        <v>43780</v>
      </c>
      <c r="K109" s="108" t="str">
        <f t="shared" si="163"/>
        <v>NV10843780VàoSáng</v>
      </c>
      <c r="L109" s="102" t="str">
        <f>IFERROR(VLOOKUP(K109,'1. Vân tay'!$F:$G,2,0),0)</f>
        <v>08:06:36</v>
      </c>
      <c r="M109" s="108" t="str">
        <f t="shared" si="164"/>
        <v>NV10843780RaSáng</v>
      </c>
      <c r="N109" s="102">
        <f>IFERROR(VLOOKUP(M109,'1. Vân tay'!$F:$G,2,0),0)</f>
        <v>0</v>
      </c>
      <c r="O109" s="108" t="str">
        <f t="shared" si="165"/>
        <v>NV10843780VàoChiều</v>
      </c>
      <c r="P109" s="102">
        <f>IFERROR(VLOOKUP(O109,'1. Vân tay'!$F:$G,2,0),0)</f>
        <v>0</v>
      </c>
      <c r="Q109" s="108" t="str">
        <f t="shared" si="166"/>
        <v>NV10843780RaChiều</v>
      </c>
      <c r="R109" s="102" t="str">
        <f>IFERROR(VLOOKUP(Q109,'1. Vân tay'!$F:$G,2,0),0)</f>
        <v>17:38:24</v>
      </c>
      <c r="S109" s="102">
        <f t="shared" si="167"/>
        <v>0</v>
      </c>
      <c r="T109" s="109">
        <v>0.33333333333333331</v>
      </c>
      <c r="U109" s="109">
        <v>0.5</v>
      </c>
      <c r="V109" s="109">
        <v>0.5625</v>
      </c>
      <c r="W109" s="109">
        <v>0.72916666666666663</v>
      </c>
      <c r="X109" s="102">
        <f>HDSD!$F$4</f>
        <v>5</v>
      </c>
      <c r="Y109" s="102">
        <f>SUMIFS('2. Đi muộn về sớm'!$K:$K,
'2. Đi muộn về sớm'!$B:$B,$A109,
'2. Đi muộn về sớm'!$D:$D,$J109)</f>
        <v>0</v>
      </c>
      <c r="Z109" s="110">
        <f t="shared" si="168"/>
        <v>6.6</v>
      </c>
      <c r="AA109" s="110">
        <f t="shared" si="169"/>
        <v>0</v>
      </c>
      <c r="AB109" s="111">
        <f t="shared" si="170"/>
        <v>6.6</v>
      </c>
      <c r="AC109" s="112">
        <f t="shared" si="108"/>
        <v>1.5999999999999996</v>
      </c>
      <c r="AD109" s="113">
        <f t="shared" si="109"/>
        <v>3199.9999999999991</v>
      </c>
      <c r="AE109" s="111">
        <f t="shared" si="171"/>
        <v>0</v>
      </c>
      <c r="AF109" s="113">
        <f t="shared" si="110"/>
        <v>0</v>
      </c>
      <c r="AG109" s="113">
        <f t="shared" si="111"/>
        <v>3199.9999999999991</v>
      </c>
      <c r="AH109" s="114">
        <f t="shared" si="148"/>
        <v>9.5300000000000011</v>
      </c>
      <c r="AI109" s="102" t="str">
        <f t="shared" si="112"/>
        <v>X:8</v>
      </c>
      <c r="AJ109" s="102" t="str">
        <f t="shared" si="113"/>
        <v>NV10843780</v>
      </c>
      <c r="AK109" s="102" t="str">
        <f>IF(OR(J109&lt;D109,J109&gt;F109),"",
IFERROR(INDEX('3. Đơn xin nghỉ'!$K:$K,MATCH('4. Tổng hợp dữ liệu'!AJ109,'3. Đơn xin nghỉ'!$I:$I,0),1),
IF(AND(AU109="Không CC",I109&lt;&gt;1),"Ro:8","")))</f>
        <v/>
      </c>
      <c r="AL109" s="102" t="str">
        <f t="shared" si="114"/>
        <v/>
      </c>
      <c r="AM109" s="102" t="str">
        <f t="shared" si="172"/>
        <v>X:8</v>
      </c>
      <c r="AN109" s="102" t="s">
        <v>92</v>
      </c>
      <c r="AO109" s="102"/>
      <c r="AP109" s="115">
        <f>IFERROR(VLOOKUP(AN109,'Quy đổi công'!A:D,3,0),0)</f>
        <v>1</v>
      </c>
      <c r="AQ109" s="115">
        <f>IFERROR(VLOOKUP(AN109,'Quy đổi công'!A:D,4,0),0)</f>
        <v>0</v>
      </c>
      <c r="AR109" s="115">
        <f t="shared" si="115"/>
        <v>0</v>
      </c>
      <c r="AS109" s="115">
        <f t="shared" si="173"/>
        <v>1</v>
      </c>
      <c r="AT109" s="115">
        <f t="shared" si="174"/>
        <v>0</v>
      </c>
      <c r="AU109" s="102" t="str">
        <f t="shared" si="116"/>
        <v/>
      </c>
      <c r="AV109" s="102" t="str">
        <f t="shared" si="117"/>
        <v/>
      </c>
      <c r="AW109" s="102" t="str">
        <f t="shared" si="118"/>
        <v/>
      </c>
      <c r="AX109" s="102" t="str">
        <f t="shared" si="119"/>
        <v/>
      </c>
      <c r="AY109" s="102" t="str">
        <f t="shared" si="120"/>
        <v/>
      </c>
      <c r="AZ109" s="102"/>
      <c r="BA109" s="102">
        <f>IF(AV109&lt;&gt;0,COUNTIFS($A$7:A109,A109,$AV$7:AV109,"Quên check in"))
+IF(AW109&lt;&gt;0,COUNTIFS($A$7:A109,A109,$AW$7:AW109,"Quên check in"))
+IF(AX109&lt;&gt;0,COUNTIFS($A$7:A109,A109,$AX$7:AX109,"Quên check out"))
+IF(AY109&lt;&gt;0,COUNTIFS($A$7:A109,A109,$AY$7:AY109,"Quên check out"))</f>
        <v>0</v>
      </c>
      <c r="BB109" s="143">
        <f t="shared" si="121"/>
        <v>0</v>
      </c>
    </row>
    <row r="110" spans="1:54" s="83" customFormat="1" ht="14.1" customHeight="1" x14ac:dyDescent="0.3">
      <c r="A110" s="103" t="s">
        <v>7</v>
      </c>
      <c r="B110" s="104" t="s">
        <v>16</v>
      </c>
      <c r="C110" s="105">
        <v>5000000</v>
      </c>
      <c r="D110" s="106">
        <v>43416</v>
      </c>
      <c r="E110" s="107">
        <v>43617</v>
      </c>
      <c r="F110" s="107">
        <v>73415</v>
      </c>
      <c r="G110" s="105">
        <v>26</v>
      </c>
      <c r="H110" s="105">
        <f t="shared" si="162"/>
        <v>2</v>
      </c>
      <c r="I110" s="105"/>
      <c r="J110" s="108">
        <v>43780</v>
      </c>
      <c r="K110" s="108" t="str">
        <f t="shared" si="163"/>
        <v>NV10943780VàoSáng</v>
      </c>
      <c r="L110" s="102" t="str">
        <f>IFERROR(VLOOKUP(K110,'1. Vân tay'!$F:$G,2,0),0)</f>
        <v>07:53:36</v>
      </c>
      <c r="M110" s="108" t="str">
        <f t="shared" si="164"/>
        <v>NV10943780RaSáng</v>
      </c>
      <c r="N110" s="102">
        <f>IFERROR(VLOOKUP(M110,'1. Vân tay'!$F:$G,2,0),0)</f>
        <v>0</v>
      </c>
      <c r="O110" s="108" t="str">
        <f t="shared" si="165"/>
        <v>NV10943780VàoChiều</v>
      </c>
      <c r="P110" s="102">
        <f>IFERROR(VLOOKUP(O110,'1. Vân tay'!$F:$G,2,0),0)</f>
        <v>0</v>
      </c>
      <c r="Q110" s="108" t="str">
        <f t="shared" si="166"/>
        <v>NV10943780RaChiều</v>
      </c>
      <c r="R110" s="102" t="str">
        <f>IFERROR(VLOOKUP(Q110,'1. Vân tay'!$F:$G,2,0),0)</f>
        <v>17:47:37</v>
      </c>
      <c r="S110" s="102">
        <f t="shared" si="167"/>
        <v>0</v>
      </c>
      <c r="T110" s="109">
        <v>0.33333333333333331</v>
      </c>
      <c r="U110" s="109">
        <v>0.5</v>
      </c>
      <c r="V110" s="109">
        <v>0.5625</v>
      </c>
      <c r="W110" s="109">
        <v>0.72916666666666663</v>
      </c>
      <c r="X110" s="102">
        <f>HDSD!$F$4</f>
        <v>5</v>
      </c>
      <c r="Y110" s="102">
        <f>SUMIFS('2. Đi muộn về sớm'!$K:$K,
'2. Đi muộn về sớm'!$B:$B,$A110,
'2. Đi muộn về sớm'!$D:$D,$J110)</f>
        <v>0</v>
      </c>
      <c r="Z110" s="110">
        <f t="shared" si="168"/>
        <v>0</v>
      </c>
      <c r="AA110" s="110">
        <f t="shared" si="169"/>
        <v>0</v>
      </c>
      <c r="AB110" s="111">
        <f t="shared" si="170"/>
        <v>0</v>
      </c>
      <c r="AC110" s="112">
        <f t="shared" si="108"/>
        <v>0</v>
      </c>
      <c r="AD110" s="113">
        <f t="shared" si="109"/>
        <v>0</v>
      </c>
      <c r="AE110" s="111">
        <f t="shared" si="171"/>
        <v>0</v>
      </c>
      <c r="AF110" s="113">
        <f t="shared" si="110"/>
        <v>0</v>
      </c>
      <c r="AG110" s="113">
        <f t="shared" si="111"/>
        <v>0</v>
      </c>
      <c r="AH110" s="114">
        <f t="shared" si="148"/>
        <v>9.9002777777777773</v>
      </c>
      <c r="AI110" s="102" t="str">
        <f t="shared" si="112"/>
        <v>X:8</v>
      </c>
      <c r="AJ110" s="102" t="str">
        <f t="shared" si="113"/>
        <v>NV10943780</v>
      </c>
      <c r="AK110" s="102" t="str">
        <f>IF(OR(J110&lt;D110,J110&gt;F110),"",
IFERROR(INDEX('3. Đơn xin nghỉ'!$K:$K,MATCH('4. Tổng hợp dữ liệu'!AJ110,'3. Đơn xin nghỉ'!$I:$I,0),1),
IF(AND(AU110="Không CC",I110&lt;&gt;1),"Ro:8","")))</f>
        <v/>
      </c>
      <c r="AL110" s="102" t="str">
        <f t="shared" si="114"/>
        <v/>
      </c>
      <c r="AM110" s="102" t="str">
        <f t="shared" si="172"/>
        <v>X:8</v>
      </c>
      <c r="AN110" s="102" t="s">
        <v>92</v>
      </c>
      <c r="AO110" s="102"/>
      <c r="AP110" s="115">
        <f>IFERROR(VLOOKUP(AN110,'Quy đổi công'!A:D,3,0),0)</f>
        <v>1</v>
      </c>
      <c r="AQ110" s="115">
        <f>IFERROR(VLOOKUP(AN110,'Quy đổi công'!A:D,4,0),0)</f>
        <v>0</v>
      </c>
      <c r="AR110" s="115">
        <f t="shared" si="115"/>
        <v>0</v>
      </c>
      <c r="AS110" s="115">
        <f t="shared" si="173"/>
        <v>1</v>
      </c>
      <c r="AT110" s="115">
        <f t="shared" si="174"/>
        <v>0</v>
      </c>
      <c r="AU110" s="102" t="str">
        <f t="shared" si="116"/>
        <v/>
      </c>
      <c r="AV110" s="102" t="str">
        <f t="shared" si="117"/>
        <v/>
      </c>
      <c r="AW110" s="102" t="str">
        <f t="shared" si="118"/>
        <v/>
      </c>
      <c r="AX110" s="102" t="str">
        <f t="shared" si="119"/>
        <v/>
      </c>
      <c r="AY110" s="102" t="str">
        <f t="shared" si="120"/>
        <v/>
      </c>
      <c r="AZ110" s="102"/>
      <c r="BA110" s="102">
        <f>IF(AV110&lt;&gt;0,COUNTIFS($A$7:A110,A110,$AV$7:AV110,"Quên check in"))
+IF(AW110&lt;&gt;0,COUNTIFS($A$7:A110,A110,$AW$7:AW110,"Quên check in"))
+IF(AX110&lt;&gt;0,COUNTIFS($A$7:A110,A110,$AX$7:AX110,"Quên check out"))
+IF(AY110&lt;&gt;0,COUNTIFS($A$7:A110,A110,$AY$7:AY110,"Quên check out"))</f>
        <v>0</v>
      </c>
      <c r="BB110" s="143">
        <f t="shared" si="121"/>
        <v>0</v>
      </c>
    </row>
    <row r="111" spans="1:54" s="83" customFormat="1" ht="14.1" customHeight="1" x14ac:dyDescent="0.3">
      <c r="A111" s="103" t="s">
        <v>8</v>
      </c>
      <c r="B111" s="104" t="s">
        <v>17</v>
      </c>
      <c r="C111" s="105">
        <v>5000000</v>
      </c>
      <c r="D111" s="106">
        <v>43423</v>
      </c>
      <c r="E111" s="107">
        <v>43617</v>
      </c>
      <c r="F111" s="107">
        <v>73415</v>
      </c>
      <c r="G111" s="105">
        <v>26</v>
      </c>
      <c r="H111" s="105">
        <f t="shared" si="162"/>
        <v>2</v>
      </c>
      <c r="I111" s="105"/>
      <c r="J111" s="108">
        <v>43780</v>
      </c>
      <c r="K111" s="108" t="str">
        <f t="shared" si="163"/>
        <v>NV11343780VàoSáng</v>
      </c>
      <c r="L111" s="102" t="str">
        <f>IFERROR(VLOOKUP(K111,'1. Vân tay'!$F:$G,2,0),0)</f>
        <v>07:47:05</v>
      </c>
      <c r="M111" s="108" t="str">
        <f t="shared" si="164"/>
        <v>NV11343780RaSáng</v>
      </c>
      <c r="N111" s="102">
        <f>IFERROR(VLOOKUP(M111,'1. Vân tay'!$F:$G,2,0),0)</f>
        <v>0</v>
      </c>
      <c r="O111" s="108" t="str">
        <f t="shared" si="165"/>
        <v>NV11343780VàoChiều</v>
      </c>
      <c r="P111" s="102">
        <f>IFERROR(VLOOKUP(O111,'1. Vân tay'!$F:$G,2,0),0)</f>
        <v>0</v>
      </c>
      <c r="Q111" s="108" t="str">
        <f t="shared" si="166"/>
        <v>NV11343780RaChiều</v>
      </c>
      <c r="R111" s="102" t="str">
        <f>IFERROR(VLOOKUP(Q111,'1. Vân tay'!$F:$G,2,0),0)</f>
        <v>17:47:42</v>
      </c>
      <c r="S111" s="102">
        <f t="shared" si="167"/>
        <v>0</v>
      </c>
      <c r="T111" s="109">
        <v>0.33333333333333331</v>
      </c>
      <c r="U111" s="109">
        <v>0.5</v>
      </c>
      <c r="V111" s="109">
        <v>0.5625</v>
      </c>
      <c r="W111" s="109">
        <v>0.72916666666666663</v>
      </c>
      <c r="X111" s="102">
        <f>HDSD!$F$4</f>
        <v>5</v>
      </c>
      <c r="Y111" s="102">
        <f>SUMIFS('2. Đi muộn về sớm'!$K:$K,
'2. Đi muộn về sớm'!$B:$B,$A111,
'2. Đi muộn về sớm'!$D:$D,$J111)</f>
        <v>0</v>
      </c>
      <c r="Z111" s="110">
        <f t="shared" si="168"/>
        <v>0</v>
      </c>
      <c r="AA111" s="110">
        <f t="shared" si="169"/>
        <v>0</v>
      </c>
      <c r="AB111" s="111">
        <f t="shared" si="170"/>
        <v>0</v>
      </c>
      <c r="AC111" s="112">
        <f t="shared" si="108"/>
        <v>0</v>
      </c>
      <c r="AD111" s="113">
        <f t="shared" si="109"/>
        <v>0</v>
      </c>
      <c r="AE111" s="111">
        <f t="shared" si="171"/>
        <v>0</v>
      </c>
      <c r="AF111" s="113">
        <f t="shared" si="110"/>
        <v>0</v>
      </c>
      <c r="AG111" s="113">
        <f t="shared" si="111"/>
        <v>0</v>
      </c>
      <c r="AH111" s="114">
        <f t="shared" si="148"/>
        <v>10.010277777777778</v>
      </c>
      <c r="AI111" s="102" t="str">
        <f t="shared" si="112"/>
        <v>X:8</v>
      </c>
      <c r="AJ111" s="102" t="str">
        <f t="shared" si="113"/>
        <v>NV11343780</v>
      </c>
      <c r="AK111" s="102" t="str">
        <f>IF(OR(J111&lt;D111,J111&gt;F111),"",
IFERROR(INDEX('3. Đơn xin nghỉ'!$K:$K,MATCH('4. Tổng hợp dữ liệu'!AJ111,'3. Đơn xin nghỉ'!$I:$I,0),1),
IF(AND(AU111="Không CC",I111&lt;&gt;1),"Ro:8","")))</f>
        <v/>
      </c>
      <c r="AL111" s="102" t="str">
        <f t="shared" si="114"/>
        <v/>
      </c>
      <c r="AM111" s="102" t="str">
        <f t="shared" si="172"/>
        <v>X:8</v>
      </c>
      <c r="AN111" s="102" t="s">
        <v>92</v>
      </c>
      <c r="AO111" s="102"/>
      <c r="AP111" s="115">
        <f>IFERROR(VLOOKUP(AN111,'Quy đổi công'!A:D,3,0),0)</f>
        <v>1</v>
      </c>
      <c r="AQ111" s="115">
        <f>IFERROR(VLOOKUP(AN111,'Quy đổi công'!A:D,4,0),0)</f>
        <v>0</v>
      </c>
      <c r="AR111" s="115">
        <f t="shared" si="115"/>
        <v>0</v>
      </c>
      <c r="AS111" s="115">
        <f t="shared" si="173"/>
        <v>1</v>
      </c>
      <c r="AT111" s="115">
        <f t="shared" si="174"/>
        <v>0</v>
      </c>
      <c r="AU111" s="102" t="str">
        <f t="shared" si="116"/>
        <v/>
      </c>
      <c r="AV111" s="102" t="str">
        <f t="shared" si="117"/>
        <v/>
      </c>
      <c r="AW111" s="102" t="str">
        <f t="shared" si="118"/>
        <v/>
      </c>
      <c r="AX111" s="102" t="str">
        <f t="shared" si="119"/>
        <v/>
      </c>
      <c r="AY111" s="102" t="str">
        <f t="shared" si="120"/>
        <v/>
      </c>
      <c r="AZ111" s="102"/>
      <c r="BA111" s="102">
        <f>IF(AV111&lt;&gt;0,COUNTIFS($A$7:A111,A111,$AV$7:AV111,"Quên check in"))
+IF(AW111&lt;&gt;0,COUNTIFS($A$7:A111,A111,$AW$7:AW111,"Quên check in"))
+IF(AX111&lt;&gt;0,COUNTIFS($A$7:A111,A111,$AX$7:AX111,"Quên check out"))
+IF(AY111&lt;&gt;0,COUNTIFS($A$7:A111,A111,$AY$7:AY111,"Quên check out"))</f>
        <v>1</v>
      </c>
      <c r="BB111" s="143">
        <f t="shared" si="121"/>
        <v>0</v>
      </c>
    </row>
    <row r="112" spans="1:54" s="83" customFormat="1" ht="14.1" customHeight="1" x14ac:dyDescent="0.3">
      <c r="A112" s="103" t="s">
        <v>9</v>
      </c>
      <c r="B112" s="104" t="s">
        <v>18</v>
      </c>
      <c r="C112" s="105">
        <v>4900000</v>
      </c>
      <c r="D112" s="106">
        <v>43437</v>
      </c>
      <c r="E112" s="107">
        <v>43617</v>
      </c>
      <c r="F112" s="107">
        <v>73415</v>
      </c>
      <c r="G112" s="105">
        <v>26</v>
      </c>
      <c r="H112" s="105">
        <f t="shared" si="162"/>
        <v>2</v>
      </c>
      <c r="I112" s="105"/>
      <c r="J112" s="108">
        <v>43780</v>
      </c>
      <c r="K112" s="108" t="str">
        <f t="shared" si="163"/>
        <v>NV11443780VàoSáng</v>
      </c>
      <c r="L112" s="102" t="str">
        <f>IFERROR(VLOOKUP(K112,'1. Vân tay'!$F:$G,2,0),0)</f>
        <v>08:08:26</v>
      </c>
      <c r="M112" s="108" t="str">
        <f t="shared" si="164"/>
        <v>NV11443780RaSáng</v>
      </c>
      <c r="N112" s="102">
        <f>IFERROR(VLOOKUP(M112,'1. Vân tay'!$F:$G,2,0),0)</f>
        <v>0</v>
      </c>
      <c r="O112" s="108" t="str">
        <f t="shared" si="165"/>
        <v>NV11443780VàoChiều</v>
      </c>
      <c r="P112" s="102">
        <f>IFERROR(VLOOKUP(O112,'1. Vân tay'!$F:$G,2,0),0)</f>
        <v>0</v>
      </c>
      <c r="Q112" s="108" t="str">
        <f t="shared" si="166"/>
        <v>NV11443780RaChiều</v>
      </c>
      <c r="R112" s="102" t="str">
        <f>IFERROR(VLOOKUP(Q112,'1. Vân tay'!$F:$G,2,0),0)</f>
        <v>17:37:47</v>
      </c>
      <c r="S112" s="102">
        <f t="shared" si="167"/>
        <v>0</v>
      </c>
      <c r="T112" s="109">
        <v>0.33333333333333331</v>
      </c>
      <c r="U112" s="109">
        <v>0.5</v>
      </c>
      <c r="V112" s="109">
        <v>0.5625</v>
      </c>
      <c r="W112" s="109">
        <v>0.72916666666666663</v>
      </c>
      <c r="X112" s="102">
        <f>HDSD!$F$4</f>
        <v>5</v>
      </c>
      <c r="Y112" s="102">
        <f>SUMIFS('2. Đi muộn về sớm'!$K:$K,
'2. Đi muộn về sớm'!$B:$B,$A112,
'2. Đi muộn về sớm'!$D:$D,$J112)</f>
        <v>0</v>
      </c>
      <c r="Z112" s="110">
        <f t="shared" si="168"/>
        <v>8.4333333333333336</v>
      </c>
      <c r="AA112" s="110">
        <f t="shared" si="169"/>
        <v>0</v>
      </c>
      <c r="AB112" s="111">
        <f t="shared" si="170"/>
        <v>8.4333333333333336</v>
      </c>
      <c r="AC112" s="112">
        <f t="shared" si="108"/>
        <v>3.4333333333333336</v>
      </c>
      <c r="AD112" s="113">
        <f t="shared" si="109"/>
        <v>6866.666666666667</v>
      </c>
      <c r="AE112" s="111">
        <f t="shared" si="171"/>
        <v>0</v>
      </c>
      <c r="AF112" s="113">
        <f t="shared" si="110"/>
        <v>0</v>
      </c>
      <c r="AG112" s="113">
        <f t="shared" si="111"/>
        <v>6866.666666666667</v>
      </c>
      <c r="AH112" s="114">
        <f t="shared" si="148"/>
        <v>9.4891666666666659</v>
      </c>
      <c r="AI112" s="102" t="str">
        <f t="shared" si="112"/>
        <v>X:8</v>
      </c>
      <c r="AJ112" s="102" t="str">
        <f t="shared" si="113"/>
        <v>NV11443780</v>
      </c>
      <c r="AK112" s="102" t="str">
        <f>IF(OR(J112&lt;D112,J112&gt;F112),"",
IFERROR(INDEX('3. Đơn xin nghỉ'!$K:$K,MATCH('4. Tổng hợp dữ liệu'!AJ112,'3. Đơn xin nghỉ'!$I:$I,0),1),
IF(AND(AU112="Không CC",I112&lt;&gt;1),"Ro:8","")))</f>
        <v/>
      </c>
      <c r="AL112" s="102" t="str">
        <f t="shared" si="114"/>
        <v/>
      </c>
      <c r="AM112" s="102" t="str">
        <f t="shared" si="172"/>
        <v>X:8</v>
      </c>
      <c r="AN112" s="102" t="s">
        <v>92</v>
      </c>
      <c r="AO112" s="102"/>
      <c r="AP112" s="115">
        <f>IFERROR(VLOOKUP(AN112,'Quy đổi công'!A:D,3,0),0)</f>
        <v>1</v>
      </c>
      <c r="AQ112" s="115">
        <f>IFERROR(VLOOKUP(AN112,'Quy đổi công'!A:D,4,0),0)</f>
        <v>0</v>
      </c>
      <c r="AR112" s="115">
        <f t="shared" si="115"/>
        <v>0</v>
      </c>
      <c r="AS112" s="115">
        <f t="shared" si="173"/>
        <v>1</v>
      </c>
      <c r="AT112" s="115">
        <f t="shared" si="174"/>
        <v>0</v>
      </c>
      <c r="AU112" s="102" t="str">
        <f t="shared" si="116"/>
        <v/>
      </c>
      <c r="AV112" s="102" t="str">
        <f t="shared" si="117"/>
        <v/>
      </c>
      <c r="AW112" s="102" t="str">
        <f t="shared" si="118"/>
        <v/>
      </c>
      <c r="AX112" s="102" t="str">
        <f t="shared" si="119"/>
        <v/>
      </c>
      <c r="AY112" s="102" t="str">
        <f t="shared" si="120"/>
        <v/>
      </c>
      <c r="AZ112" s="102"/>
      <c r="BA112" s="102">
        <f>IF(AV112&lt;&gt;0,COUNTIFS($A$7:A112,A112,$AV$7:AV112,"Quên check in"))
+IF(AW112&lt;&gt;0,COUNTIFS($A$7:A112,A112,$AW$7:AW112,"Quên check in"))
+IF(AX112&lt;&gt;0,COUNTIFS($A$7:A112,A112,$AX$7:AX112,"Quên check out"))
+IF(AY112&lt;&gt;0,COUNTIFS($A$7:A112,A112,$AY$7:AY112,"Quên check out"))</f>
        <v>1</v>
      </c>
      <c r="BB112" s="143">
        <f t="shared" si="121"/>
        <v>0</v>
      </c>
    </row>
    <row r="113" spans="1:54" s="83" customFormat="1" ht="14.1" customHeight="1" x14ac:dyDescent="0.3">
      <c r="A113" s="103" t="s">
        <v>10</v>
      </c>
      <c r="B113" s="104" t="s">
        <v>19</v>
      </c>
      <c r="C113" s="105">
        <v>5000000</v>
      </c>
      <c r="D113" s="106">
        <v>43445</v>
      </c>
      <c r="E113" s="107">
        <v>43647</v>
      </c>
      <c r="F113" s="107">
        <v>73415</v>
      </c>
      <c r="G113" s="105">
        <v>26</v>
      </c>
      <c r="H113" s="105">
        <f t="shared" si="162"/>
        <v>2</v>
      </c>
      <c r="I113" s="105"/>
      <c r="J113" s="108">
        <v>43780</v>
      </c>
      <c r="K113" s="108" t="str">
        <f t="shared" si="163"/>
        <v>NV11843780VàoSáng</v>
      </c>
      <c r="L113" s="102" t="str">
        <f>IFERROR(VLOOKUP(K113,'1. Vân tay'!$F:$G,2,0),0)</f>
        <v>07:53:23</v>
      </c>
      <c r="M113" s="108" t="str">
        <f t="shared" si="164"/>
        <v>NV11843780RaSáng</v>
      </c>
      <c r="N113" s="102">
        <f>IFERROR(VLOOKUP(M113,'1. Vân tay'!$F:$G,2,0),0)</f>
        <v>0</v>
      </c>
      <c r="O113" s="108" t="str">
        <f t="shared" si="165"/>
        <v>NV11843780VàoChiều</v>
      </c>
      <c r="P113" s="102">
        <f>IFERROR(VLOOKUP(O113,'1. Vân tay'!$F:$G,2,0),0)</f>
        <v>0</v>
      </c>
      <c r="Q113" s="108" t="str">
        <f t="shared" si="166"/>
        <v>NV11843780RaChiều</v>
      </c>
      <c r="R113" s="102" t="str">
        <f>IFERROR(VLOOKUP(Q113,'1. Vân tay'!$F:$G,2,0),0)</f>
        <v>17:34:38</v>
      </c>
      <c r="S113" s="102">
        <f t="shared" si="167"/>
        <v>0</v>
      </c>
      <c r="T113" s="109">
        <v>0.33333333333333331</v>
      </c>
      <c r="U113" s="109">
        <v>0.5</v>
      </c>
      <c r="V113" s="109">
        <v>0.5625</v>
      </c>
      <c r="W113" s="109">
        <v>0.72916666666666663</v>
      </c>
      <c r="X113" s="102">
        <f>HDSD!$F$4</f>
        <v>5</v>
      </c>
      <c r="Y113" s="102">
        <f>SUMIFS('2. Đi muộn về sớm'!$K:$K,
'2. Đi muộn về sớm'!$B:$B,$A113,
'2. Đi muộn về sớm'!$D:$D,$J113)</f>
        <v>0</v>
      </c>
      <c r="Z113" s="110">
        <f t="shared" si="168"/>
        <v>0</v>
      </c>
      <c r="AA113" s="110">
        <f t="shared" si="169"/>
        <v>0</v>
      </c>
      <c r="AB113" s="111">
        <f t="shared" si="170"/>
        <v>0</v>
      </c>
      <c r="AC113" s="112">
        <f t="shared" si="108"/>
        <v>0</v>
      </c>
      <c r="AD113" s="113">
        <f t="shared" si="109"/>
        <v>0</v>
      </c>
      <c r="AE113" s="111">
        <f t="shared" si="171"/>
        <v>0</v>
      </c>
      <c r="AF113" s="113">
        <f t="shared" si="110"/>
        <v>0</v>
      </c>
      <c r="AG113" s="113">
        <f t="shared" si="111"/>
        <v>0</v>
      </c>
      <c r="AH113" s="114">
        <f t="shared" si="148"/>
        <v>9.6875</v>
      </c>
      <c r="AI113" s="102" t="str">
        <f t="shared" si="112"/>
        <v>X:8</v>
      </c>
      <c r="AJ113" s="102" t="str">
        <f t="shared" si="113"/>
        <v>NV11843780</v>
      </c>
      <c r="AK113" s="102" t="str">
        <f>IF(OR(J113&lt;D113,J113&gt;F113),"",
IFERROR(INDEX('3. Đơn xin nghỉ'!$K:$K,MATCH('4. Tổng hợp dữ liệu'!AJ113,'3. Đơn xin nghỉ'!$I:$I,0),1),
IF(AND(AU113="Không CC",I113&lt;&gt;1),"Ro:8","")))</f>
        <v/>
      </c>
      <c r="AL113" s="102" t="str">
        <f t="shared" si="114"/>
        <v/>
      </c>
      <c r="AM113" s="102" t="str">
        <f t="shared" si="172"/>
        <v>X:8</v>
      </c>
      <c r="AN113" s="102" t="s">
        <v>92</v>
      </c>
      <c r="AO113" s="102"/>
      <c r="AP113" s="115">
        <f>IFERROR(VLOOKUP(AN113,'Quy đổi công'!A:D,3,0),0)</f>
        <v>1</v>
      </c>
      <c r="AQ113" s="115">
        <f>IFERROR(VLOOKUP(AN113,'Quy đổi công'!A:D,4,0),0)</f>
        <v>0</v>
      </c>
      <c r="AR113" s="115">
        <f t="shared" si="115"/>
        <v>0</v>
      </c>
      <c r="AS113" s="115">
        <f t="shared" si="173"/>
        <v>1</v>
      </c>
      <c r="AT113" s="115">
        <f t="shared" si="174"/>
        <v>0</v>
      </c>
      <c r="AU113" s="102" t="str">
        <f t="shared" si="116"/>
        <v/>
      </c>
      <c r="AV113" s="102" t="str">
        <f t="shared" si="117"/>
        <v/>
      </c>
      <c r="AW113" s="102" t="str">
        <f t="shared" si="118"/>
        <v/>
      </c>
      <c r="AX113" s="102" t="str">
        <f t="shared" si="119"/>
        <v/>
      </c>
      <c r="AY113" s="102" t="str">
        <f t="shared" si="120"/>
        <v/>
      </c>
      <c r="AZ113" s="102"/>
      <c r="BA113" s="102">
        <f>IF(AV113&lt;&gt;0,COUNTIFS($A$7:A113,A113,$AV$7:AV113,"Quên check in"))
+IF(AW113&lt;&gt;0,COUNTIFS($A$7:A113,A113,$AW$7:AW113,"Quên check in"))
+IF(AX113&lt;&gt;0,COUNTIFS($A$7:A113,A113,$AX$7:AX113,"Quên check out"))
+IF(AY113&lt;&gt;0,COUNTIFS($A$7:A113,A113,$AY$7:AY113,"Quên check out"))</f>
        <v>0</v>
      </c>
      <c r="BB113" s="143">
        <f t="shared" si="121"/>
        <v>0</v>
      </c>
    </row>
    <row r="114" spans="1:54" s="83" customFormat="1" ht="14.1" customHeight="1" x14ac:dyDescent="0.3">
      <c r="A114" s="103" t="s">
        <v>11</v>
      </c>
      <c r="B114" s="104" t="s">
        <v>20</v>
      </c>
      <c r="C114" s="105">
        <v>4700000</v>
      </c>
      <c r="D114" s="106">
        <v>43467</v>
      </c>
      <c r="E114" s="107">
        <v>43617</v>
      </c>
      <c r="F114" s="107">
        <v>73415</v>
      </c>
      <c r="G114" s="105">
        <v>26</v>
      </c>
      <c r="H114" s="105">
        <f t="shared" si="162"/>
        <v>2</v>
      </c>
      <c r="I114" s="105"/>
      <c r="J114" s="108">
        <v>43780</v>
      </c>
      <c r="K114" s="108" t="str">
        <f t="shared" si="163"/>
        <v>NV12243780VàoSáng</v>
      </c>
      <c r="L114" s="102" t="str">
        <f>IFERROR(VLOOKUP(K114,'1. Vân tay'!$F:$G,2,0),0)</f>
        <v>07:59:13</v>
      </c>
      <c r="M114" s="108" t="str">
        <f t="shared" si="164"/>
        <v>NV12243780RaSáng</v>
      </c>
      <c r="N114" s="102">
        <f>IFERROR(VLOOKUP(M114,'1. Vân tay'!$F:$G,2,0),0)</f>
        <v>0</v>
      </c>
      <c r="O114" s="108" t="str">
        <f t="shared" si="165"/>
        <v>NV12243780VàoChiều</v>
      </c>
      <c r="P114" s="102">
        <f>IFERROR(VLOOKUP(O114,'1. Vân tay'!$F:$G,2,0),0)</f>
        <v>0</v>
      </c>
      <c r="Q114" s="108" t="str">
        <f t="shared" si="166"/>
        <v>NV12243780RaChiều</v>
      </c>
      <c r="R114" s="102" t="str">
        <f>IFERROR(VLOOKUP(Q114,'1. Vân tay'!$F:$G,2,0),0)</f>
        <v>17:34:46</v>
      </c>
      <c r="S114" s="102">
        <f t="shared" si="167"/>
        <v>0</v>
      </c>
      <c r="T114" s="109">
        <v>0.33333333333333331</v>
      </c>
      <c r="U114" s="109">
        <v>0.5</v>
      </c>
      <c r="V114" s="109">
        <v>0.5625</v>
      </c>
      <c r="W114" s="109">
        <v>0.72916666666666663</v>
      </c>
      <c r="X114" s="102">
        <f>HDSD!$F$4</f>
        <v>5</v>
      </c>
      <c r="Y114" s="102">
        <f>SUMIFS('2. Đi muộn về sớm'!$K:$K,
'2. Đi muộn về sớm'!$B:$B,$A114,
'2. Đi muộn về sớm'!$D:$D,$J114)</f>
        <v>0</v>
      </c>
      <c r="Z114" s="110">
        <f t="shared" si="168"/>
        <v>0</v>
      </c>
      <c r="AA114" s="110">
        <f t="shared" si="169"/>
        <v>0</v>
      </c>
      <c r="AB114" s="111">
        <f t="shared" si="170"/>
        <v>0</v>
      </c>
      <c r="AC114" s="112">
        <f t="shared" si="108"/>
        <v>0</v>
      </c>
      <c r="AD114" s="113">
        <f t="shared" si="109"/>
        <v>0</v>
      </c>
      <c r="AE114" s="111">
        <f t="shared" si="171"/>
        <v>0</v>
      </c>
      <c r="AF114" s="113">
        <f t="shared" si="110"/>
        <v>0</v>
      </c>
      <c r="AG114" s="113">
        <f t="shared" si="111"/>
        <v>0</v>
      </c>
      <c r="AH114" s="114">
        <f t="shared" si="148"/>
        <v>9.5925000000000011</v>
      </c>
      <c r="AI114" s="102" t="str">
        <f t="shared" si="112"/>
        <v>X:8</v>
      </c>
      <c r="AJ114" s="102" t="str">
        <f t="shared" si="113"/>
        <v>NV12243780</v>
      </c>
      <c r="AK114" s="102" t="str">
        <f>IF(OR(J114&lt;D114,J114&gt;F114),"",
IFERROR(INDEX('3. Đơn xin nghỉ'!$K:$K,MATCH('4. Tổng hợp dữ liệu'!AJ114,'3. Đơn xin nghỉ'!$I:$I,0),1),
IF(AND(AU114="Không CC",I114&lt;&gt;1),"Ro:8","")))</f>
        <v/>
      </c>
      <c r="AL114" s="102" t="str">
        <f t="shared" si="114"/>
        <v/>
      </c>
      <c r="AM114" s="102" t="str">
        <f t="shared" si="172"/>
        <v>X:8</v>
      </c>
      <c r="AN114" s="102" t="s">
        <v>92</v>
      </c>
      <c r="AO114" s="102"/>
      <c r="AP114" s="115">
        <f>IFERROR(VLOOKUP(AN114,'Quy đổi công'!A:D,3,0),0)</f>
        <v>1</v>
      </c>
      <c r="AQ114" s="115">
        <f>IFERROR(VLOOKUP(AN114,'Quy đổi công'!A:D,4,0),0)</f>
        <v>0</v>
      </c>
      <c r="AR114" s="115">
        <f t="shared" si="115"/>
        <v>0</v>
      </c>
      <c r="AS114" s="115">
        <f t="shared" si="173"/>
        <v>1</v>
      </c>
      <c r="AT114" s="115">
        <f t="shared" si="174"/>
        <v>0</v>
      </c>
      <c r="AU114" s="102" t="str">
        <f t="shared" si="116"/>
        <v/>
      </c>
      <c r="AV114" s="102" t="str">
        <f t="shared" si="117"/>
        <v/>
      </c>
      <c r="AW114" s="102" t="str">
        <f t="shared" si="118"/>
        <v/>
      </c>
      <c r="AX114" s="102" t="str">
        <f t="shared" si="119"/>
        <v/>
      </c>
      <c r="AY114" s="102" t="str">
        <f t="shared" si="120"/>
        <v/>
      </c>
      <c r="AZ114" s="102"/>
      <c r="BA114" s="102">
        <f>IF(AV114&lt;&gt;0,COUNTIFS($A$7:A114,A114,$AV$7:AV114,"Quên check in"))
+IF(AW114&lt;&gt;0,COUNTIFS($A$7:A114,A114,$AW$7:AW114,"Quên check in"))
+IF(AX114&lt;&gt;0,COUNTIFS($A$7:A114,A114,$AX$7:AX114,"Quên check out"))
+IF(AY114&lt;&gt;0,COUNTIFS($A$7:A114,A114,$AY$7:AY114,"Quên check out"))</f>
        <v>1</v>
      </c>
      <c r="BB114" s="143">
        <f t="shared" si="121"/>
        <v>0</v>
      </c>
    </row>
    <row r="115" spans="1:54" s="83" customFormat="1" ht="14.1" customHeight="1" x14ac:dyDescent="0.3">
      <c r="A115" s="103" t="s">
        <v>12</v>
      </c>
      <c r="B115" s="104" t="s">
        <v>21</v>
      </c>
      <c r="C115" s="105">
        <v>5000000</v>
      </c>
      <c r="D115" s="106">
        <v>43482</v>
      </c>
      <c r="E115" s="107">
        <v>43647</v>
      </c>
      <c r="F115" s="107">
        <v>73415</v>
      </c>
      <c r="G115" s="105">
        <v>26</v>
      </c>
      <c r="H115" s="105">
        <f t="shared" si="162"/>
        <v>2</v>
      </c>
      <c r="I115" s="105"/>
      <c r="J115" s="108">
        <v>43780</v>
      </c>
      <c r="K115" s="108" t="str">
        <f t="shared" si="163"/>
        <v>NV12343780VàoSáng</v>
      </c>
      <c r="L115" s="102" t="str">
        <f>IFERROR(VLOOKUP(K115,'1. Vân tay'!$F:$G,2,0),0)</f>
        <v>07:56:39</v>
      </c>
      <c r="M115" s="108" t="str">
        <f t="shared" si="164"/>
        <v>NV12343780RaSáng</v>
      </c>
      <c r="N115" s="102">
        <f>IFERROR(VLOOKUP(M115,'1. Vân tay'!$F:$G,2,0),0)</f>
        <v>0</v>
      </c>
      <c r="O115" s="108" t="str">
        <f t="shared" si="165"/>
        <v>NV12343780VàoChiều</v>
      </c>
      <c r="P115" s="102">
        <f>IFERROR(VLOOKUP(O115,'1. Vân tay'!$F:$G,2,0),0)</f>
        <v>0</v>
      </c>
      <c r="Q115" s="108" t="str">
        <f t="shared" si="166"/>
        <v>NV12343780RaChiều</v>
      </c>
      <c r="R115" s="102" t="str">
        <f>IFERROR(VLOOKUP(Q115,'1. Vân tay'!$F:$G,2,0),0)</f>
        <v>17:38:01</v>
      </c>
      <c r="S115" s="102">
        <f t="shared" si="167"/>
        <v>0</v>
      </c>
      <c r="T115" s="109">
        <v>0.33333333333333331</v>
      </c>
      <c r="U115" s="109">
        <v>0.5</v>
      </c>
      <c r="V115" s="109">
        <v>0.5625</v>
      </c>
      <c r="W115" s="109">
        <v>0.72916666666666663</v>
      </c>
      <c r="X115" s="102">
        <f>HDSD!$F$4</f>
        <v>5</v>
      </c>
      <c r="Y115" s="102">
        <f>SUMIFS('2. Đi muộn về sớm'!$K:$K,
'2. Đi muộn về sớm'!$B:$B,$A115,
'2. Đi muộn về sớm'!$D:$D,$J115)</f>
        <v>0</v>
      </c>
      <c r="Z115" s="110">
        <f t="shared" si="168"/>
        <v>0</v>
      </c>
      <c r="AA115" s="110">
        <f t="shared" si="169"/>
        <v>0</v>
      </c>
      <c r="AB115" s="111">
        <f t="shared" si="170"/>
        <v>0</v>
      </c>
      <c r="AC115" s="112">
        <f t="shared" si="108"/>
        <v>0</v>
      </c>
      <c r="AD115" s="113">
        <f t="shared" si="109"/>
        <v>0</v>
      </c>
      <c r="AE115" s="111">
        <f t="shared" si="171"/>
        <v>0</v>
      </c>
      <c r="AF115" s="113">
        <f t="shared" si="110"/>
        <v>0</v>
      </c>
      <c r="AG115" s="113">
        <f t="shared" si="111"/>
        <v>0</v>
      </c>
      <c r="AH115" s="114">
        <f t="shared" si="148"/>
        <v>9.6894444444444439</v>
      </c>
      <c r="AI115" s="102" t="str">
        <f t="shared" si="112"/>
        <v>X:8</v>
      </c>
      <c r="AJ115" s="102" t="str">
        <f t="shared" si="113"/>
        <v>NV12343780</v>
      </c>
      <c r="AK115" s="102" t="str">
        <f>IF(OR(J115&lt;D115,J115&gt;F115),"",
IFERROR(INDEX('3. Đơn xin nghỉ'!$K:$K,MATCH('4. Tổng hợp dữ liệu'!AJ115,'3. Đơn xin nghỉ'!$I:$I,0),1),
IF(AND(AU115="Không CC",I115&lt;&gt;1),"Ro:8","")))</f>
        <v/>
      </c>
      <c r="AL115" s="102" t="str">
        <f t="shared" si="114"/>
        <v/>
      </c>
      <c r="AM115" s="102" t="str">
        <f t="shared" si="172"/>
        <v>X:8</v>
      </c>
      <c r="AN115" s="102" t="s">
        <v>92</v>
      </c>
      <c r="AO115" s="102"/>
      <c r="AP115" s="115">
        <f>IFERROR(VLOOKUP(AN115,'Quy đổi công'!A:D,3,0),0)</f>
        <v>1</v>
      </c>
      <c r="AQ115" s="115">
        <f>IFERROR(VLOOKUP(AN115,'Quy đổi công'!A:D,4,0),0)</f>
        <v>0</v>
      </c>
      <c r="AR115" s="115">
        <f t="shared" si="115"/>
        <v>0</v>
      </c>
      <c r="AS115" s="115">
        <f t="shared" si="173"/>
        <v>1</v>
      </c>
      <c r="AT115" s="115">
        <f t="shared" si="174"/>
        <v>0</v>
      </c>
      <c r="AU115" s="102" t="str">
        <f t="shared" si="116"/>
        <v/>
      </c>
      <c r="AV115" s="102" t="str">
        <f t="shared" si="117"/>
        <v/>
      </c>
      <c r="AW115" s="102" t="str">
        <f t="shared" si="118"/>
        <v/>
      </c>
      <c r="AX115" s="102" t="str">
        <f t="shared" si="119"/>
        <v/>
      </c>
      <c r="AY115" s="102" t="str">
        <f t="shared" si="120"/>
        <v/>
      </c>
      <c r="AZ115" s="102"/>
      <c r="BA115" s="102">
        <f>IF(AV115&lt;&gt;0,COUNTIFS($A$7:A115,A115,$AV$7:AV115,"Quên check in"))
+IF(AW115&lt;&gt;0,COUNTIFS($A$7:A115,A115,$AW$7:AW115,"Quên check in"))
+IF(AX115&lt;&gt;0,COUNTIFS($A$7:A115,A115,$AX$7:AX115,"Quên check out"))
+IF(AY115&lt;&gt;0,COUNTIFS($A$7:A115,A115,$AY$7:AY115,"Quên check out"))</f>
        <v>0</v>
      </c>
      <c r="BB115" s="143">
        <f t="shared" si="121"/>
        <v>0</v>
      </c>
    </row>
    <row r="116" spans="1:54" s="83" customFormat="1" ht="14.1" customHeight="1" x14ac:dyDescent="0.3">
      <c r="A116" s="103" t="s">
        <v>13</v>
      </c>
      <c r="B116" s="104" t="s">
        <v>22</v>
      </c>
      <c r="C116" s="105">
        <v>4700000</v>
      </c>
      <c r="D116" s="106">
        <v>43531</v>
      </c>
      <c r="E116" s="107">
        <v>43647</v>
      </c>
      <c r="F116" s="107">
        <v>73415</v>
      </c>
      <c r="G116" s="105">
        <v>26</v>
      </c>
      <c r="H116" s="105">
        <f t="shared" si="162"/>
        <v>2</v>
      </c>
      <c r="I116" s="105"/>
      <c r="J116" s="108">
        <v>43780</v>
      </c>
      <c r="K116" s="108" t="str">
        <f t="shared" si="163"/>
        <v>NV12643780VàoSáng</v>
      </c>
      <c r="L116" s="102" t="str">
        <f>IFERROR(VLOOKUP(K116,'1. Vân tay'!$F:$G,2,0),0)</f>
        <v>07:54:49</v>
      </c>
      <c r="M116" s="108" t="str">
        <f t="shared" si="164"/>
        <v>NV12643780RaSáng</v>
      </c>
      <c r="N116" s="102">
        <f>IFERROR(VLOOKUP(M116,'1. Vân tay'!$F:$G,2,0),0)</f>
        <v>0</v>
      </c>
      <c r="O116" s="108" t="str">
        <f t="shared" si="165"/>
        <v>NV12643780VàoChiều</v>
      </c>
      <c r="P116" s="102">
        <f>IFERROR(VLOOKUP(O116,'1. Vân tay'!$F:$G,2,0),0)</f>
        <v>0</v>
      </c>
      <c r="Q116" s="108" t="str">
        <f t="shared" si="166"/>
        <v>NV12643780RaChiều</v>
      </c>
      <c r="R116" s="102" t="str">
        <f>IFERROR(VLOOKUP(Q116,'1. Vân tay'!$F:$G,2,0),0)</f>
        <v>17:33:01</v>
      </c>
      <c r="S116" s="102">
        <f t="shared" si="167"/>
        <v>0</v>
      </c>
      <c r="T116" s="109">
        <v>0.33333333333333331</v>
      </c>
      <c r="U116" s="109">
        <v>0.5</v>
      </c>
      <c r="V116" s="109">
        <v>0.5625</v>
      </c>
      <c r="W116" s="109">
        <v>0.72916666666666663</v>
      </c>
      <c r="X116" s="102">
        <f>HDSD!$F$4</f>
        <v>5</v>
      </c>
      <c r="Y116" s="102">
        <f>SUMIFS('2. Đi muộn về sớm'!$K:$K,
'2. Đi muộn về sớm'!$B:$B,$A116,
'2. Đi muộn về sớm'!$D:$D,$J116)</f>
        <v>0</v>
      </c>
      <c r="Z116" s="110">
        <f t="shared" si="168"/>
        <v>0</v>
      </c>
      <c r="AA116" s="110">
        <f t="shared" si="169"/>
        <v>0</v>
      </c>
      <c r="AB116" s="111">
        <f t="shared" si="170"/>
        <v>0</v>
      </c>
      <c r="AC116" s="112">
        <f t="shared" si="108"/>
        <v>0</v>
      </c>
      <c r="AD116" s="113">
        <f t="shared" si="109"/>
        <v>0</v>
      </c>
      <c r="AE116" s="111">
        <f t="shared" si="171"/>
        <v>0</v>
      </c>
      <c r="AF116" s="113">
        <f t="shared" si="110"/>
        <v>0</v>
      </c>
      <c r="AG116" s="113">
        <f t="shared" si="111"/>
        <v>0</v>
      </c>
      <c r="AH116" s="114">
        <f t="shared" si="148"/>
        <v>9.6366666666666667</v>
      </c>
      <c r="AI116" s="102" t="str">
        <f t="shared" si="112"/>
        <v>X:8</v>
      </c>
      <c r="AJ116" s="102" t="str">
        <f t="shared" si="113"/>
        <v>NV12643780</v>
      </c>
      <c r="AK116" s="102" t="str">
        <f>IF(OR(J116&lt;D116,J116&gt;F116),"",
IFERROR(INDEX('3. Đơn xin nghỉ'!$K:$K,MATCH('4. Tổng hợp dữ liệu'!AJ116,'3. Đơn xin nghỉ'!$I:$I,0),1),
IF(AND(AU116="Không CC",I116&lt;&gt;1),"Ro:8","")))</f>
        <v/>
      </c>
      <c r="AL116" s="102" t="str">
        <f t="shared" si="114"/>
        <v/>
      </c>
      <c r="AM116" s="102" t="str">
        <f t="shared" si="172"/>
        <v>X:8</v>
      </c>
      <c r="AN116" s="102" t="s">
        <v>92</v>
      </c>
      <c r="AO116" s="102"/>
      <c r="AP116" s="115">
        <f>IFERROR(VLOOKUP(AN116,'Quy đổi công'!A:D,3,0),0)</f>
        <v>1</v>
      </c>
      <c r="AQ116" s="115">
        <f>IFERROR(VLOOKUP(AN116,'Quy đổi công'!A:D,4,0),0)</f>
        <v>0</v>
      </c>
      <c r="AR116" s="115">
        <f t="shared" si="115"/>
        <v>0</v>
      </c>
      <c r="AS116" s="115">
        <f t="shared" si="173"/>
        <v>1</v>
      </c>
      <c r="AT116" s="115">
        <f t="shared" si="174"/>
        <v>0</v>
      </c>
      <c r="AU116" s="102" t="str">
        <f t="shared" si="116"/>
        <v/>
      </c>
      <c r="AV116" s="102" t="str">
        <f t="shared" si="117"/>
        <v/>
      </c>
      <c r="AW116" s="102" t="str">
        <f t="shared" si="118"/>
        <v/>
      </c>
      <c r="AX116" s="102" t="str">
        <f t="shared" si="119"/>
        <v/>
      </c>
      <c r="AY116" s="102" t="str">
        <f t="shared" si="120"/>
        <v/>
      </c>
      <c r="AZ116" s="102"/>
      <c r="BA116" s="102">
        <f>IF(AV116&lt;&gt;0,COUNTIFS($A$7:A116,A116,$AV$7:AV116,"Quên check in"))
+IF(AW116&lt;&gt;0,COUNTIFS($A$7:A116,A116,$AW$7:AW116,"Quên check in"))
+IF(AX116&lt;&gt;0,COUNTIFS($A$7:A116,A116,$AX$7:AX116,"Quên check out"))
+IF(AY116&lt;&gt;0,COUNTIFS($A$7:A116,A116,$AY$7:AY116,"Quên check out"))</f>
        <v>0</v>
      </c>
      <c r="BB116" s="143">
        <f t="shared" si="121"/>
        <v>0</v>
      </c>
    </row>
    <row r="117" spans="1:54" s="83" customFormat="1" ht="14.1" customHeight="1" x14ac:dyDescent="0.3">
      <c r="A117" s="103" t="s">
        <v>4</v>
      </c>
      <c r="B117" s="104" t="s">
        <v>14</v>
      </c>
      <c r="C117" s="105">
        <v>4700000</v>
      </c>
      <c r="D117" s="106">
        <v>43388</v>
      </c>
      <c r="E117" s="107">
        <v>43525</v>
      </c>
      <c r="F117" s="107">
        <v>73415</v>
      </c>
      <c r="G117" s="105">
        <v>26</v>
      </c>
      <c r="H117" s="105">
        <f t="shared" ref="H117:H126" si="175">WEEKDAY(J117,1)</f>
        <v>3</v>
      </c>
      <c r="I117" s="105"/>
      <c r="J117" s="108">
        <v>43781</v>
      </c>
      <c r="K117" s="108" t="str">
        <f t="shared" ref="K117:K126" si="176">$A117&amp;$J117&amp;"Vào"&amp;"Sáng"</f>
        <v>NV10143781VàoSáng</v>
      </c>
      <c r="L117" s="102" t="str">
        <f>IFERROR(VLOOKUP(K117,'1. Vân tay'!$F:$G,2,0),0)</f>
        <v>08:10:04</v>
      </c>
      <c r="M117" s="108" t="str">
        <f t="shared" ref="M117:M126" si="177">$A117&amp;$J117&amp;"Ra"&amp;"Sáng"</f>
        <v>NV10143781RaSáng</v>
      </c>
      <c r="N117" s="102">
        <f>IFERROR(VLOOKUP(M117,'1. Vân tay'!$F:$G,2,0),0)</f>
        <v>0</v>
      </c>
      <c r="O117" s="108" t="str">
        <f t="shared" ref="O117:O126" si="178">$A117&amp;$J117&amp;"Vào"&amp;"Chiều"</f>
        <v>NV10143781VàoChiều</v>
      </c>
      <c r="P117" s="102">
        <f>IFERROR(VLOOKUP(O117,'1. Vân tay'!$F:$G,2,0),0)</f>
        <v>0</v>
      </c>
      <c r="Q117" s="108" t="str">
        <f t="shared" ref="Q117:Q126" si="179">$A117&amp;$J117&amp;"Ra"&amp;"Chiều"</f>
        <v>NV10143781RaChiều</v>
      </c>
      <c r="R117" s="102" t="str">
        <f>IFERROR(VLOOKUP(Q117,'1. Vân tay'!$F:$G,2,0),0)</f>
        <v>17:30:59</v>
      </c>
      <c r="S117" s="102">
        <f t="shared" ref="S117:S126" si="180">IF(OR(
(AND(L117&lt;&gt;0,P117&lt;&gt;0)),
(AND(N117&lt;&gt;0,R117&lt;&gt;0))),"Kiểm tra",0)</f>
        <v>0</v>
      </c>
      <c r="T117" s="109">
        <v>0.33333333333333331</v>
      </c>
      <c r="U117" s="109">
        <v>0.5</v>
      </c>
      <c r="V117" s="109">
        <v>0.5625</v>
      </c>
      <c r="W117" s="109">
        <v>0.72916666666666663</v>
      </c>
      <c r="X117" s="102">
        <f>HDSD!$F$4</f>
        <v>5</v>
      </c>
      <c r="Y117" s="102">
        <f>SUMIFS('2. Đi muộn về sớm'!$K:$K,
'2. Đi muộn về sớm'!$B:$B,$A117,
'2. Đi muộn về sớm'!$D:$D,$J117)</f>
        <v>0</v>
      </c>
      <c r="Z117" s="110">
        <f t="shared" ref="Z117:Z126" si="181">IF(L117=0,0,IFERROR((HOUR(L117-T117)*60+MINUTE(L117-T117)+SECOND(L117-T117)/60),0))
+IF(N117=0,0, IFERROR((HOUR(U117-N117)*60+MINUTE(U117-N117)+SECOND(U117-N117)/60),0))
+IF(P117=0,0, IFERROR((HOUR(P117-V117)*60+MINUTE(P117-V117)+SECOND(P117-V117)/60),0))
+IF(R117=0,0, IFERROR((HOUR(W117-R117)*60+MINUTE(W117-R117)+SECOND(W117-R117)/60),0))</f>
        <v>10.066666666666666</v>
      </c>
      <c r="AA117" s="110">
        <f t="shared" ref="AA117:AA126" si="182">IF(L117=0,0,IFERROR((HOUR(L117-"09:00:00")*60+MINUTE(L117-"09:00:00")+SECOND(L117-"09:00:00")/60),0))
+IF(N117=0,0, IFERROR((HOUR(U117-N117)*60+MINUTE(U117-N117)+SECOND(U117-N117)/60),0))
+IF(P117=0,0, IFERROR((HOUR(P117-V117)*60+MINUTE(P117-V117)+SECOND(P117-V117)/60),0))
+IF(R117=0,0, IFERROR((HOUR("16:30:00"-R117)*60+MINUTE("16:30:00"-R117)+SECOND("16:30:00"-R117)/60),0))</f>
        <v>0</v>
      </c>
      <c r="AB117" s="111">
        <f t="shared" ref="AB117:AB126" si="183">Z117-AA117</f>
        <v>10.066666666666666</v>
      </c>
      <c r="AC117" s="112">
        <f t="shared" si="108"/>
        <v>5.0666666666666664</v>
      </c>
      <c r="AD117" s="113">
        <f t="shared" si="109"/>
        <v>10133.333333333332</v>
      </c>
      <c r="AE117" s="111">
        <f t="shared" ref="AE117:AE126" si="184">AA117/60/8</f>
        <v>0</v>
      </c>
      <c r="AF117" s="113">
        <f t="shared" si="110"/>
        <v>0</v>
      </c>
      <c r="AG117" s="113">
        <f t="shared" si="111"/>
        <v>10133.333333333332</v>
      </c>
      <c r="AH117" s="114">
        <f t="shared" si="148"/>
        <v>9.3486111111111114</v>
      </c>
      <c r="AI117" s="102" t="str">
        <f t="shared" si="112"/>
        <v>X:8</v>
      </c>
      <c r="AJ117" s="102" t="str">
        <f t="shared" si="113"/>
        <v>NV10143781</v>
      </c>
      <c r="AK117" s="102" t="str">
        <f>IF(OR(J117&lt;D117,J117&gt;F117),"",
IFERROR(INDEX('3. Đơn xin nghỉ'!$K:$K,MATCH('4. Tổng hợp dữ liệu'!AJ117,'3. Đơn xin nghỉ'!$I:$I,0),1),
IF(AND(AU117="Không CC",I117&lt;&gt;1),"Ro:8","")))</f>
        <v/>
      </c>
      <c r="AL117" s="102" t="str">
        <f t="shared" si="114"/>
        <v/>
      </c>
      <c r="AM117" s="102" t="str">
        <f t="shared" ref="AM117:AM126" si="185">IF(OR(AI117="",AK117=""),AI117&amp;AK117,AI117&amp;","&amp;AK117)&amp;AL117</f>
        <v>X:8</v>
      </c>
      <c r="AN117" s="102" t="s">
        <v>92</v>
      </c>
      <c r="AO117" s="102"/>
      <c r="AP117" s="115">
        <f>IFERROR(VLOOKUP(AN117,'Quy đổi công'!A:D,3,0),0)</f>
        <v>1</v>
      </c>
      <c r="AQ117" s="115">
        <f>IFERROR(VLOOKUP(AN117,'Quy đổi công'!A:D,4,0),0)</f>
        <v>0</v>
      </c>
      <c r="AR117" s="115">
        <f t="shared" si="115"/>
        <v>0</v>
      </c>
      <c r="AS117" s="115">
        <f t="shared" ref="AS117:AS126" si="186">AP117-AR117</f>
        <v>1</v>
      </c>
      <c r="AT117" s="115">
        <f t="shared" ref="AT117:AT126" si="187">IF(AN117="P8",1)
+IF(OR(AN117="X:4,P:4",AN117="P:4,Rv:4",AN117="P:4,Ro:4"),1/2)</f>
        <v>0</v>
      </c>
      <c r="AU117" s="102" t="str">
        <f t="shared" si="116"/>
        <v/>
      </c>
      <c r="AV117" s="102" t="str">
        <f t="shared" si="117"/>
        <v/>
      </c>
      <c r="AW117" s="102" t="str">
        <f t="shared" si="118"/>
        <v/>
      </c>
      <c r="AX117" s="102" t="str">
        <f t="shared" si="119"/>
        <v/>
      </c>
      <c r="AY117" s="102" t="str">
        <f t="shared" si="120"/>
        <v/>
      </c>
      <c r="AZ117" s="102"/>
      <c r="BA117" s="102">
        <f>IF(AV117&lt;&gt;0,COUNTIFS($A$7:A117,A117,$AV$7:AV117,"Quên check in"))
+IF(AW117&lt;&gt;0,COUNTIFS($A$7:A117,A117,$AW$7:AW117,"Quên check in"))
+IF(AX117&lt;&gt;0,COUNTIFS($A$7:A117,A117,$AX$7:AX117,"Quên check out"))
+IF(AY117&lt;&gt;0,COUNTIFS($A$7:A117,A117,$AY$7:AY117,"Quên check out"))</f>
        <v>0</v>
      </c>
      <c r="BB117" s="143">
        <f t="shared" si="121"/>
        <v>0</v>
      </c>
    </row>
    <row r="118" spans="1:54" s="83" customFormat="1" ht="14.1" customHeight="1" x14ac:dyDescent="0.3">
      <c r="A118" s="103" t="s">
        <v>5</v>
      </c>
      <c r="B118" s="104" t="s">
        <v>28</v>
      </c>
      <c r="C118" s="105">
        <v>10000000</v>
      </c>
      <c r="D118" s="106">
        <v>43409</v>
      </c>
      <c r="E118" s="107">
        <v>43678</v>
      </c>
      <c r="F118" s="107">
        <v>73415</v>
      </c>
      <c r="G118" s="105">
        <v>26</v>
      </c>
      <c r="H118" s="105">
        <f t="shared" si="175"/>
        <v>3</v>
      </c>
      <c r="I118" s="105"/>
      <c r="J118" s="108">
        <v>43781</v>
      </c>
      <c r="K118" s="108" t="str">
        <f t="shared" si="176"/>
        <v>NV10743781VàoSáng</v>
      </c>
      <c r="L118" s="102" t="str">
        <f>IFERROR(VLOOKUP(K118,'1. Vân tay'!$F:$G,2,0),0)</f>
        <v>07:53:19</v>
      </c>
      <c r="M118" s="108" t="str">
        <f t="shared" si="177"/>
        <v>NV10743781RaSáng</v>
      </c>
      <c r="N118" s="102">
        <f>IFERROR(VLOOKUP(M118,'1. Vân tay'!$F:$G,2,0),0)</f>
        <v>0</v>
      </c>
      <c r="O118" s="108" t="str">
        <f t="shared" si="178"/>
        <v>NV10743781VàoChiều</v>
      </c>
      <c r="P118" s="102">
        <f>IFERROR(VLOOKUP(O118,'1. Vân tay'!$F:$G,2,0),0)</f>
        <v>0</v>
      </c>
      <c r="Q118" s="108" t="str">
        <f t="shared" si="179"/>
        <v>NV10743781RaChiều</v>
      </c>
      <c r="R118" s="102" t="str">
        <f>IFERROR(VLOOKUP(Q118,'1. Vân tay'!$F:$G,2,0),0)</f>
        <v>17:38:33</v>
      </c>
      <c r="S118" s="102">
        <f t="shared" si="180"/>
        <v>0</v>
      </c>
      <c r="T118" s="109">
        <v>0.33333333333333331</v>
      </c>
      <c r="U118" s="109">
        <v>0.5</v>
      </c>
      <c r="V118" s="109">
        <v>0.5625</v>
      </c>
      <c r="W118" s="109">
        <v>0.72916666666666663</v>
      </c>
      <c r="X118" s="102">
        <f>HDSD!$F$4</f>
        <v>5</v>
      </c>
      <c r="Y118" s="102">
        <f>SUMIFS('2. Đi muộn về sớm'!$K:$K,
'2. Đi muộn về sớm'!$B:$B,$A118,
'2. Đi muộn về sớm'!$D:$D,$J118)</f>
        <v>0</v>
      </c>
      <c r="Z118" s="110">
        <f t="shared" si="181"/>
        <v>0</v>
      </c>
      <c r="AA118" s="110">
        <f t="shared" si="182"/>
        <v>0</v>
      </c>
      <c r="AB118" s="111">
        <f t="shared" si="183"/>
        <v>0</v>
      </c>
      <c r="AC118" s="112">
        <f t="shared" si="108"/>
        <v>0</v>
      </c>
      <c r="AD118" s="113">
        <f t="shared" si="109"/>
        <v>0</v>
      </c>
      <c r="AE118" s="111">
        <f t="shared" si="184"/>
        <v>0</v>
      </c>
      <c r="AF118" s="113">
        <f t="shared" si="110"/>
        <v>0</v>
      </c>
      <c r="AG118" s="113">
        <f t="shared" si="111"/>
        <v>0</v>
      </c>
      <c r="AH118" s="114">
        <f t="shared" si="148"/>
        <v>9.7538888888888895</v>
      </c>
      <c r="AI118" s="102" t="str">
        <f t="shared" si="112"/>
        <v>X:8</v>
      </c>
      <c r="AJ118" s="102" t="str">
        <f t="shared" si="113"/>
        <v>NV10743781</v>
      </c>
      <c r="AK118" s="102" t="str">
        <f>IF(OR(J118&lt;D118,J118&gt;F118),"",
IFERROR(INDEX('3. Đơn xin nghỉ'!$K:$K,MATCH('4. Tổng hợp dữ liệu'!AJ118,'3. Đơn xin nghỉ'!$I:$I,0),1),
IF(AND(AU118="Không CC",I118&lt;&gt;1),"Ro:8","")))</f>
        <v/>
      </c>
      <c r="AL118" s="102" t="str">
        <f t="shared" si="114"/>
        <v/>
      </c>
      <c r="AM118" s="102" t="str">
        <f t="shared" si="185"/>
        <v>X:8</v>
      </c>
      <c r="AN118" s="102" t="s">
        <v>92</v>
      </c>
      <c r="AO118" s="102"/>
      <c r="AP118" s="115">
        <f>IFERROR(VLOOKUP(AN118,'Quy đổi công'!A:D,3,0),0)</f>
        <v>1</v>
      </c>
      <c r="AQ118" s="115">
        <f>IFERROR(VLOOKUP(AN118,'Quy đổi công'!A:D,4,0),0)</f>
        <v>0</v>
      </c>
      <c r="AR118" s="115">
        <f t="shared" si="115"/>
        <v>0</v>
      </c>
      <c r="AS118" s="115">
        <f t="shared" si="186"/>
        <v>1</v>
      </c>
      <c r="AT118" s="115">
        <f t="shared" si="187"/>
        <v>0</v>
      </c>
      <c r="AU118" s="102" t="str">
        <f t="shared" si="116"/>
        <v/>
      </c>
      <c r="AV118" s="102" t="str">
        <f t="shared" si="117"/>
        <v/>
      </c>
      <c r="AW118" s="102" t="str">
        <f t="shared" si="118"/>
        <v/>
      </c>
      <c r="AX118" s="102" t="str">
        <f t="shared" si="119"/>
        <v/>
      </c>
      <c r="AY118" s="102" t="str">
        <f t="shared" si="120"/>
        <v/>
      </c>
      <c r="AZ118" s="102"/>
      <c r="BA118" s="102">
        <f>IF(AV118&lt;&gt;0,COUNTIFS($A$7:A118,A118,$AV$7:AV118,"Quên check in"))
+IF(AW118&lt;&gt;0,COUNTIFS($A$7:A118,A118,$AW$7:AW118,"Quên check in"))
+IF(AX118&lt;&gt;0,COUNTIFS($A$7:A118,A118,$AX$7:AX118,"Quên check out"))
+IF(AY118&lt;&gt;0,COUNTIFS($A$7:A118,A118,$AY$7:AY118,"Quên check out"))</f>
        <v>1</v>
      </c>
      <c r="BB118" s="143">
        <f t="shared" si="121"/>
        <v>0</v>
      </c>
    </row>
    <row r="119" spans="1:54" s="83" customFormat="1" ht="14.1" customHeight="1" x14ac:dyDescent="0.3">
      <c r="A119" s="103" t="s">
        <v>6</v>
      </c>
      <c r="B119" s="104" t="s">
        <v>15</v>
      </c>
      <c r="C119" s="105">
        <v>4700000</v>
      </c>
      <c r="D119" s="106">
        <v>43409</v>
      </c>
      <c r="E119" s="107">
        <v>43617</v>
      </c>
      <c r="F119" s="107">
        <v>73415</v>
      </c>
      <c r="G119" s="105">
        <v>26</v>
      </c>
      <c r="H119" s="105">
        <f t="shared" si="175"/>
        <v>3</v>
      </c>
      <c r="I119" s="105"/>
      <c r="J119" s="108">
        <v>43781</v>
      </c>
      <c r="K119" s="108" t="str">
        <f t="shared" si="176"/>
        <v>NV10843781VàoSáng</v>
      </c>
      <c r="L119" s="102" t="str">
        <f>IFERROR(VLOOKUP(K119,'1. Vân tay'!$F:$G,2,0),0)</f>
        <v>08:06:27</v>
      </c>
      <c r="M119" s="108" t="str">
        <f t="shared" si="177"/>
        <v>NV10843781RaSáng</v>
      </c>
      <c r="N119" s="102">
        <f>IFERROR(VLOOKUP(M119,'1. Vân tay'!$F:$G,2,0),0)</f>
        <v>0</v>
      </c>
      <c r="O119" s="108" t="str">
        <f t="shared" si="178"/>
        <v>NV10843781VàoChiều</v>
      </c>
      <c r="P119" s="102">
        <f>IFERROR(VLOOKUP(O119,'1. Vân tay'!$F:$G,2,0),0)</f>
        <v>0</v>
      </c>
      <c r="Q119" s="108" t="str">
        <f t="shared" si="179"/>
        <v>NV10843781RaChiều</v>
      </c>
      <c r="R119" s="102" t="str">
        <f>IFERROR(VLOOKUP(Q119,'1. Vân tay'!$F:$G,2,0),0)</f>
        <v>17:40:07</v>
      </c>
      <c r="S119" s="102">
        <f t="shared" si="180"/>
        <v>0</v>
      </c>
      <c r="T119" s="109">
        <v>0.33333333333333331</v>
      </c>
      <c r="U119" s="109">
        <v>0.5</v>
      </c>
      <c r="V119" s="109">
        <v>0.5625</v>
      </c>
      <c r="W119" s="109">
        <v>0.72916666666666663</v>
      </c>
      <c r="X119" s="102">
        <f>HDSD!$F$4</f>
        <v>5</v>
      </c>
      <c r="Y119" s="102">
        <f>SUMIFS('2. Đi muộn về sớm'!$K:$K,
'2. Đi muộn về sớm'!$B:$B,$A119,
'2. Đi muộn về sớm'!$D:$D,$J119)</f>
        <v>0</v>
      </c>
      <c r="Z119" s="110">
        <f t="shared" si="181"/>
        <v>6.45</v>
      </c>
      <c r="AA119" s="110">
        <f t="shared" si="182"/>
        <v>0</v>
      </c>
      <c r="AB119" s="111">
        <f t="shared" si="183"/>
        <v>6.45</v>
      </c>
      <c r="AC119" s="112">
        <f t="shared" si="108"/>
        <v>1.4500000000000002</v>
      </c>
      <c r="AD119" s="113">
        <f t="shared" si="109"/>
        <v>2900.0000000000005</v>
      </c>
      <c r="AE119" s="111">
        <f t="shared" si="184"/>
        <v>0</v>
      </c>
      <c r="AF119" s="113">
        <f t="shared" si="110"/>
        <v>0</v>
      </c>
      <c r="AG119" s="113">
        <f t="shared" si="111"/>
        <v>2900.0000000000005</v>
      </c>
      <c r="AH119" s="114">
        <f t="shared" si="148"/>
        <v>9.5611111111111118</v>
      </c>
      <c r="AI119" s="102" t="str">
        <f t="shared" si="112"/>
        <v>X:8</v>
      </c>
      <c r="AJ119" s="102" t="str">
        <f t="shared" si="113"/>
        <v>NV10843781</v>
      </c>
      <c r="AK119" s="102" t="str">
        <f>IF(OR(J119&lt;D119,J119&gt;F119),"",
IFERROR(INDEX('3. Đơn xin nghỉ'!$K:$K,MATCH('4. Tổng hợp dữ liệu'!AJ119,'3. Đơn xin nghỉ'!$I:$I,0),1),
IF(AND(AU119="Không CC",I119&lt;&gt;1),"Ro:8","")))</f>
        <v/>
      </c>
      <c r="AL119" s="102" t="str">
        <f t="shared" si="114"/>
        <v/>
      </c>
      <c r="AM119" s="102" t="str">
        <f t="shared" si="185"/>
        <v>X:8</v>
      </c>
      <c r="AN119" s="102" t="s">
        <v>92</v>
      </c>
      <c r="AO119" s="102"/>
      <c r="AP119" s="115">
        <f>IFERROR(VLOOKUP(AN119,'Quy đổi công'!A:D,3,0),0)</f>
        <v>1</v>
      </c>
      <c r="AQ119" s="115">
        <f>IFERROR(VLOOKUP(AN119,'Quy đổi công'!A:D,4,0),0)</f>
        <v>0</v>
      </c>
      <c r="AR119" s="115">
        <f t="shared" si="115"/>
        <v>0</v>
      </c>
      <c r="AS119" s="115">
        <f t="shared" si="186"/>
        <v>1</v>
      </c>
      <c r="AT119" s="115">
        <f t="shared" si="187"/>
        <v>0</v>
      </c>
      <c r="AU119" s="102" t="str">
        <f t="shared" si="116"/>
        <v/>
      </c>
      <c r="AV119" s="102" t="str">
        <f t="shared" si="117"/>
        <v/>
      </c>
      <c r="AW119" s="102" t="str">
        <f t="shared" si="118"/>
        <v/>
      </c>
      <c r="AX119" s="102" t="str">
        <f t="shared" si="119"/>
        <v/>
      </c>
      <c r="AY119" s="102" t="str">
        <f t="shared" si="120"/>
        <v/>
      </c>
      <c r="AZ119" s="102"/>
      <c r="BA119" s="102">
        <f>IF(AV119&lt;&gt;0,COUNTIFS($A$7:A119,A119,$AV$7:AV119,"Quên check in"))
+IF(AW119&lt;&gt;0,COUNTIFS($A$7:A119,A119,$AW$7:AW119,"Quên check in"))
+IF(AX119&lt;&gt;0,COUNTIFS($A$7:A119,A119,$AX$7:AX119,"Quên check out"))
+IF(AY119&lt;&gt;0,COUNTIFS($A$7:A119,A119,$AY$7:AY119,"Quên check out"))</f>
        <v>0</v>
      </c>
      <c r="BB119" s="143">
        <f t="shared" si="121"/>
        <v>0</v>
      </c>
    </row>
    <row r="120" spans="1:54" s="83" customFormat="1" ht="14.1" customHeight="1" x14ac:dyDescent="0.3">
      <c r="A120" s="103" t="s">
        <v>7</v>
      </c>
      <c r="B120" s="104" t="s">
        <v>16</v>
      </c>
      <c r="C120" s="105">
        <v>5000000</v>
      </c>
      <c r="D120" s="106">
        <v>43416</v>
      </c>
      <c r="E120" s="107">
        <v>43617</v>
      </c>
      <c r="F120" s="107">
        <v>73415</v>
      </c>
      <c r="G120" s="105">
        <v>26</v>
      </c>
      <c r="H120" s="105">
        <f t="shared" si="175"/>
        <v>3</v>
      </c>
      <c r="I120" s="105"/>
      <c r="J120" s="108">
        <v>43781</v>
      </c>
      <c r="K120" s="108" t="str">
        <f t="shared" si="176"/>
        <v>NV10943781VàoSáng</v>
      </c>
      <c r="L120" s="102" t="str">
        <f>IFERROR(VLOOKUP(K120,'1. Vân tay'!$F:$G,2,0),0)</f>
        <v>07:56:12</v>
      </c>
      <c r="M120" s="108" t="str">
        <f t="shared" si="177"/>
        <v>NV10943781RaSáng</v>
      </c>
      <c r="N120" s="102">
        <f>IFERROR(VLOOKUP(M120,'1. Vân tay'!$F:$G,2,0),0)</f>
        <v>0</v>
      </c>
      <c r="O120" s="108" t="str">
        <f t="shared" si="178"/>
        <v>NV10943781VàoChiều</v>
      </c>
      <c r="P120" s="102">
        <f>IFERROR(VLOOKUP(O120,'1. Vân tay'!$F:$G,2,0),0)</f>
        <v>0</v>
      </c>
      <c r="Q120" s="108" t="str">
        <f t="shared" si="179"/>
        <v>NV10943781RaChiều</v>
      </c>
      <c r="R120" s="102" t="str">
        <f>IFERROR(VLOOKUP(Q120,'1. Vân tay'!$F:$G,2,0),0)</f>
        <v>17:39:48</v>
      </c>
      <c r="S120" s="102">
        <f t="shared" si="180"/>
        <v>0</v>
      </c>
      <c r="T120" s="109">
        <v>0.33333333333333331</v>
      </c>
      <c r="U120" s="109">
        <v>0.5</v>
      </c>
      <c r="V120" s="109">
        <v>0.5625</v>
      </c>
      <c r="W120" s="109">
        <v>0.72916666666666663</v>
      </c>
      <c r="X120" s="102">
        <f>HDSD!$F$4</f>
        <v>5</v>
      </c>
      <c r="Y120" s="102">
        <f>SUMIFS('2. Đi muộn về sớm'!$K:$K,
'2. Đi muộn về sớm'!$B:$B,$A120,
'2. Đi muộn về sớm'!$D:$D,$J120)</f>
        <v>0</v>
      </c>
      <c r="Z120" s="110">
        <f t="shared" si="181"/>
        <v>0</v>
      </c>
      <c r="AA120" s="110">
        <f t="shared" si="182"/>
        <v>0</v>
      </c>
      <c r="AB120" s="111">
        <f t="shared" si="183"/>
        <v>0</v>
      </c>
      <c r="AC120" s="112">
        <f t="shared" si="108"/>
        <v>0</v>
      </c>
      <c r="AD120" s="113">
        <f t="shared" si="109"/>
        <v>0</v>
      </c>
      <c r="AE120" s="111">
        <f t="shared" si="184"/>
        <v>0</v>
      </c>
      <c r="AF120" s="113">
        <f t="shared" si="110"/>
        <v>0</v>
      </c>
      <c r="AG120" s="113">
        <f t="shared" si="111"/>
        <v>0</v>
      </c>
      <c r="AH120" s="114">
        <f t="shared" si="148"/>
        <v>9.7266666666666666</v>
      </c>
      <c r="AI120" s="102" t="str">
        <f t="shared" si="112"/>
        <v>X:8</v>
      </c>
      <c r="AJ120" s="102" t="str">
        <f t="shared" si="113"/>
        <v>NV10943781</v>
      </c>
      <c r="AK120" s="102" t="str">
        <f>IF(OR(J120&lt;D120,J120&gt;F120),"",
IFERROR(INDEX('3. Đơn xin nghỉ'!$K:$K,MATCH('4. Tổng hợp dữ liệu'!AJ120,'3. Đơn xin nghỉ'!$I:$I,0),1),
IF(AND(AU120="Không CC",I120&lt;&gt;1),"Ro:8","")))</f>
        <v/>
      </c>
      <c r="AL120" s="102" t="str">
        <f t="shared" si="114"/>
        <v/>
      </c>
      <c r="AM120" s="102" t="str">
        <f t="shared" si="185"/>
        <v>X:8</v>
      </c>
      <c r="AN120" s="102" t="s">
        <v>92</v>
      </c>
      <c r="AO120" s="102"/>
      <c r="AP120" s="115">
        <f>IFERROR(VLOOKUP(AN120,'Quy đổi công'!A:D,3,0),0)</f>
        <v>1</v>
      </c>
      <c r="AQ120" s="115">
        <f>IFERROR(VLOOKUP(AN120,'Quy đổi công'!A:D,4,0),0)</f>
        <v>0</v>
      </c>
      <c r="AR120" s="115">
        <f t="shared" si="115"/>
        <v>0</v>
      </c>
      <c r="AS120" s="115">
        <f t="shared" si="186"/>
        <v>1</v>
      </c>
      <c r="AT120" s="115">
        <f t="shared" si="187"/>
        <v>0</v>
      </c>
      <c r="AU120" s="102" t="str">
        <f t="shared" si="116"/>
        <v/>
      </c>
      <c r="AV120" s="102" t="str">
        <f t="shared" si="117"/>
        <v/>
      </c>
      <c r="AW120" s="102" t="str">
        <f t="shared" si="118"/>
        <v/>
      </c>
      <c r="AX120" s="102" t="str">
        <f t="shared" si="119"/>
        <v/>
      </c>
      <c r="AY120" s="102" t="str">
        <f t="shared" si="120"/>
        <v/>
      </c>
      <c r="AZ120" s="102"/>
      <c r="BA120" s="102">
        <f>IF(AV120&lt;&gt;0,COUNTIFS($A$7:A120,A120,$AV$7:AV120,"Quên check in"))
+IF(AW120&lt;&gt;0,COUNTIFS($A$7:A120,A120,$AW$7:AW120,"Quên check in"))
+IF(AX120&lt;&gt;0,COUNTIFS($A$7:A120,A120,$AX$7:AX120,"Quên check out"))
+IF(AY120&lt;&gt;0,COUNTIFS($A$7:A120,A120,$AY$7:AY120,"Quên check out"))</f>
        <v>0</v>
      </c>
      <c r="BB120" s="143">
        <f t="shared" si="121"/>
        <v>0</v>
      </c>
    </row>
    <row r="121" spans="1:54" s="83" customFormat="1" ht="14.1" customHeight="1" x14ac:dyDescent="0.3">
      <c r="A121" s="103" t="s">
        <v>8</v>
      </c>
      <c r="B121" s="104" t="s">
        <v>17</v>
      </c>
      <c r="C121" s="105">
        <v>5000000</v>
      </c>
      <c r="D121" s="106">
        <v>43423</v>
      </c>
      <c r="E121" s="107">
        <v>43617</v>
      </c>
      <c r="F121" s="107">
        <v>73415</v>
      </c>
      <c r="G121" s="105">
        <v>26</v>
      </c>
      <c r="H121" s="105">
        <f t="shared" si="175"/>
        <v>3</v>
      </c>
      <c r="I121" s="105"/>
      <c r="J121" s="108">
        <v>43781</v>
      </c>
      <c r="K121" s="108" t="str">
        <f t="shared" si="176"/>
        <v>NV11343781VàoSáng</v>
      </c>
      <c r="L121" s="102" t="str">
        <f>IFERROR(VLOOKUP(K121,'1. Vân tay'!$F:$G,2,0),0)</f>
        <v>07:56:04</v>
      </c>
      <c r="M121" s="108" t="str">
        <f t="shared" si="177"/>
        <v>NV11343781RaSáng</v>
      </c>
      <c r="N121" s="102">
        <f>IFERROR(VLOOKUP(M121,'1. Vân tay'!$F:$G,2,0),0)</f>
        <v>0</v>
      </c>
      <c r="O121" s="108" t="str">
        <f t="shared" si="178"/>
        <v>NV11343781VàoChiều</v>
      </c>
      <c r="P121" s="102">
        <f>IFERROR(VLOOKUP(O121,'1. Vân tay'!$F:$G,2,0),0)</f>
        <v>0</v>
      </c>
      <c r="Q121" s="108" t="str">
        <f t="shared" si="179"/>
        <v>NV11343781RaChiều</v>
      </c>
      <c r="R121" s="102" t="str">
        <f>IFERROR(VLOOKUP(Q121,'1. Vân tay'!$F:$G,2,0),0)</f>
        <v>17:38:03</v>
      </c>
      <c r="S121" s="102">
        <f t="shared" si="180"/>
        <v>0</v>
      </c>
      <c r="T121" s="109">
        <v>0.33333333333333331</v>
      </c>
      <c r="U121" s="109">
        <v>0.5</v>
      </c>
      <c r="V121" s="109">
        <v>0.5625</v>
      </c>
      <c r="W121" s="109">
        <v>0.72916666666666663</v>
      </c>
      <c r="X121" s="102">
        <f>HDSD!$F$4</f>
        <v>5</v>
      </c>
      <c r="Y121" s="102">
        <f>SUMIFS('2. Đi muộn về sớm'!$K:$K,
'2. Đi muộn về sớm'!$B:$B,$A121,
'2. Đi muộn về sớm'!$D:$D,$J121)</f>
        <v>0</v>
      </c>
      <c r="Z121" s="110">
        <f t="shared" si="181"/>
        <v>0</v>
      </c>
      <c r="AA121" s="110">
        <f t="shared" si="182"/>
        <v>0</v>
      </c>
      <c r="AB121" s="111">
        <f t="shared" si="183"/>
        <v>0</v>
      </c>
      <c r="AC121" s="112">
        <f t="shared" si="108"/>
        <v>0</v>
      </c>
      <c r="AD121" s="113">
        <f t="shared" si="109"/>
        <v>0</v>
      </c>
      <c r="AE121" s="111">
        <f t="shared" si="184"/>
        <v>0</v>
      </c>
      <c r="AF121" s="113">
        <f t="shared" si="110"/>
        <v>0</v>
      </c>
      <c r="AG121" s="113">
        <f t="shared" si="111"/>
        <v>0</v>
      </c>
      <c r="AH121" s="114">
        <f t="shared" si="148"/>
        <v>9.6997222222222224</v>
      </c>
      <c r="AI121" s="102" t="str">
        <f t="shared" si="112"/>
        <v>X:8</v>
      </c>
      <c r="AJ121" s="102" t="str">
        <f t="shared" si="113"/>
        <v>NV11343781</v>
      </c>
      <c r="AK121" s="102" t="str">
        <f>IF(OR(J121&lt;D121,J121&gt;F121),"",
IFERROR(INDEX('3. Đơn xin nghỉ'!$K:$K,MATCH('4. Tổng hợp dữ liệu'!AJ121,'3. Đơn xin nghỉ'!$I:$I,0),1),
IF(AND(AU121="Không CC",I121&lt;&gt;1),"Ro:8","")))</f>
        <v/>
      </c>
      <c r="AL121" s="102" t="str">
        <f t="shared" si="114"/>
        <v/>
      </c>
      <c r="AM121" s="102" t="str">
        <f t="shared" si="185"/>
        <v>X:8</v>
      </c>
      <c r="AN121" s="102" t="s">
        <v>92</v>
      </c>
      <c r="AO121" s="102"/>
      <c r="AP121" s="115">
        <f>IFERROR(VLOOKUP(AN121,'Quy đổi công'!A:D,3,0),0)</f>
        <v>1</v>
      </c>
      <c r="AQ121" s="115">
        <f>IFERROR(VLOOKUP(AN121,'Quy đổi công'!A:D,4,0),0)</f>
        <v>0</v>
      </c>
      <c r="AR121" s="115">
        <f t="shared" si="115"/>
        <v>0</v>
      </c>
      <c r="AS121" s="115">
        <f t="shared" si="186"/>
        <v>1</v>
      </c>
      <c r="AT121" s="115">
        <f t="shared" si="187"/>
        <v>0</v>
      </c>
      <c r="AU121" s="102" t="str">
        <f t="shared" si="116"/>
        <v/>
      </c>
      <c r="AV121" s="102" t="str">
        <f t="shared" si="117"/>
        <v/>
      </c>
      <c r="AW121" s="102" t="str">
        <f t="shared" si="118"/>
        <v/>
      </c>
      <c r="AX121" s="102" t="str">
        <f t="shared" si="119"/>
        <v/>
      </c>
      <c r="AY121" s="102" t="str">
        <f t="shared" si="120"/>
        <v/>
      </c>
      <c r="AZ121" s="102"/>
      <c r="BA121" s="102">
        <f>IF(AV121&lt;&gt;0,COUNTIFS($A$7:A121,A121,$AV$7:AV121,"Quên check in"))
+IF(AW121&lt;&gt;0,COUNTIFS($A$7:A121,A121,$AW$7:AW121,"Quên check in"))
+IF(AX121&lt;&gt;0,COUNTIFS($A$7:A121,A121,$AX$7:AX121,"Quên check out"))
+IF(AY121&lt;&gt;0,COUNTIFS($A$7:A121,A121,$AY$7:AY121,"Quên check out"))</f>
        <v>1</v>
      </c>
      <c r="BB121" s="143">
        <f t="shared" si="121"/>
        <v>0</v>
      </c>
    </row>
    <row r="122" spans="1:54" s="83" customFormat="1" ht="14.1" customHeight="1" x14ac:dyDescent="0.3">
      <c r="A122" s="103" t="s">
        <v>9</v>
      </c>
      <c r="B122" s="104" t="s">
        <v>18</v>
      </c>
      <c r="C122" s="105">
        <v>4900000</v>
      </c>
      <c r="D122" s="106">
        <v>43437</v>
      </c>
      <c r="E122" s="107">
        <v>43617</v>
      </c>
      <c r="F122" s="107">
        <v>73415</v>
      </c>
      <c r="G122" s="105">
        <v>26</v>
      </c>
      <c r="H122" s="105">
        <f t="shared" si="175"/>
        <v>3</v>
      </c>
      <c r="I122" s="105"/>
      <c r="J122" s="108">
        <v>43781</v>
      </c>
      <c r="K122" s="108" t="str">
        <f t="shared" si="176"/>
        <v>NV11443781VàoSáng</v>
      </c>
      <c r="L122" s="102" t="str">
        <f>IFERROR(VLOOKUP(K122,'1. Vân tay'!$F:$G,2,0),0)</f>
        <v>07:57:37</v>
      </c>
      <c r="M122" s="108" t="str">
        <f t="shared" si="177"/>
        <v>NV11443781RaSáng</v>
      </c>
      <c r="N122" s="102">
        <f>IFERROR(VLOOKUP(M122,'1. Vân tay'!$F:$G,2,0),0)</f>
        <v>0</v>
      </c>
      <c r="O122" s="108" t="str">
        <f t="shared" si="178"/>
        <v>NV11443781VàoChiều</v>
      </c>
      <c r="P122" s="102">
        <f>IFERROR(VLOOKUP(O122,'1. Vân tay'!$F:$G,2,0),0)</f>
        <v>0</v>
      </c>
      <c r="Q122" s="108" t="str">
        <f t="shared" si="179"/>
        <v>NV11443781RaChiều</v>
      </c>
      <c r="R122" s="102" t="str">
        <f>IFERROR(VLOOKUP(Q122,'1. Vân tay'!$F:$G,2,0),0)</f>
        <v>17:33:58</v>
      </c>
      <c r="S122" s="102">
        <f t="shared" si="180"/>
        <v>0</v>
      </c>
      <c r="T122" s="109">
        <v>0.33333333333333331</v>
      </c>
      <c r="U122" s="109">
        <v>0.5</v>
      </c>
      <c r="V122" s="109">
        <v>0.5625</v>
      </c>
      <c r="W122" s="109">
        <v>0.72916666666666663</v>
      </c>
      <c r="X122" s="102">
        <f>HDSD!$F$4</f>
        <v>5</v>
      </c>
      <c r="Y122" s="102">
        <f>SUMIFS('2. Đi muộn về sớm'!$K:$K,
'2. Đi muộn về sớm'!$B:$B,$A122,
'2. Đi muộn về sớm'!$D:$D,$J122)</f>
        <v>0</v>
      </c>
      <c r="Z122" s="110">
        <f t="shared" si="181"/>
        <v>0</v>
      </c>
      <c r="AA122" s="110">
        <f t="shared" si="182"/>
        <v>0</v>
      </c>
      <c r="AB122" s="111">
        <f t="shared" si="183"/>
        <v>0</v>
      </c>
      <c r="AC122" s="112">
        <f t="shared" si="108"/>
        <v>0</v>
      </c>
      <c r="AD122" s="113">
        <f t="shared" si="109"/>
        <v>0</v>
      </c>
      <c r="AE122" s="111">
        <f t="shared" si="184"/>
        <v>0</v>
      </c>
      <c r="AF122" s="113">
        <f t="shared" si="110"/>
        <v>0</v>
      </c>
      <c r="AG122" s="113">
        <f t="shared" si="111"/>
        <v>0</v>
      </c>
      <c r="AH122" s="114">
        <f t="shared" si="148"/>
        <v>9.605833333333333</v>
      </c>
      <c r="AI122" s="102" t="str">
        <f t="shared" si="112"/>
        <v>X:8</v>
      </c>
      <c r="AJ122" s="102" t="str">
        <f t="shared" si="113"/>
        <v>NV11443781</v>
      </c>
      <c r="AK122" s="102" t="str">
        <f>IF(OR(J122&lt;D122,J122&gt;F122),"",
IFERROR(INDEX('3. Đơn xin nghỉ'!$K:$K,MATCH('4. Tổng hợp dữ liệu'!AJ122,'3. Đơn xin nghỉ'!$I:$I,0),1),
IF(AND(AU122="Không CC",I122&lt;&gt;1),"Ro:8","")))</f>
        <v/>
      </c>
      <c r="AL122" s="102" t="str">
        <f t="shared" si="114"/>
        <v/>
      </c>
      <c r="AM122" s="102" t="str">
        <f t="shared" si="185"/>
        <v>X:8</v>
      </c>
      <c r="AN122" s="102" t="s">
        <v>92</v>
      </c>
      <c r="AO122" s="102"/>
      <c r="AP122" s="115">
        <f>IFERROR(VLOOKUP(AN122,'Quy đổi công'!A:D,3,0),0)</f>
        <v>1</v>
      </c>
      <c r="AQ122" s="115">
        <f>IFERROR(VLOOKUP(AN122,'Quy đổi công'!A:D,4,0),0)</f>
        <v>0</v>
      </c>
      <c r="AR122" s="115">
        <f t="shared" si="115"/>
        <v>0</v>
      </c>
      <c r="AS122" s="115">
        <f t="shared" si="186"/>
        <v>1</v>
      </c>
      <c r="AT122" s="115">
        <f t="shared" si="187"/>
        <v>0</v>
      </c>
      <c r="AU122" s="102" t="str">
        <f t="shared" si="116"/>
        <v/>
      </c>
      <c r="AV122" s="102" t="str">
        <f t="shared" si="117"/>
        <v/>
      </c>
      <c r="AW122" s="102" t="str">
        <f t="shared" si="118"/>
        <v/>
      </c>
      <c r="AX122" s="102" t="str">
        <f t="shared" si="119"/>
        <v/>
      </c>
      <c r="AY122" s="102" t="str">
        <f t="shared" si="120"/>
        <v/>
      </c>
      <c r="AZ122" s="102"/>
      <c r="BA122" s="102">
        <f>IF(AV122&lt;&gt;0,COUNTIFS($A$7:A122,A122,$AV$7:AV122,"Quên check in"))
+IF(AW122&lt;&gt;0,COUNTIFS($A$7:A122,A122,$AW$7:AW122,"Quên check in"))
+IF(AX122&lt;&gt;0,COUNTIFS($A$7:A122,A122,$AX$7:AX122,"Quên check out"))
+IF(AY122&lt;&gt;0,COUNTIFS($A$7:A122,A122,$AY$7:AY122,"Quên check out"))</f>
        <v>1</v>
      </c>
      <c r="BB122" s="143">
        <f t="shared" si="121"/>
        <v>0</v>
      </c>
    </row>
    <row r="123" spans="1:54" s="83" customFormat="1" ht="14.1" customHeight="1" x14ac:dyDescent="0.3">
      <c r="A123" s="103" t="s">
        <v>10</v>
      </c>
      <c r="B123" s="104" t="s">
        <v>19</v>
      </c>
      <c r="C123" s="105">
        <v>5000000</v>
      </c>
      <c r="D123" s="106">
        <v>43445</v>
      </c>
      <c r="E123" s="107">
        <v>43647</v>
      </c>
      <c r="F123" s="107">
        <v>73415</v>
      </c>
      <c r="G123" s="105">
        <v>26</v>
      </c>
      <c r="H123" s="105">
        <f t="shared" si="175"/>
        <v>3</v>
      </c>
      <c r="I123" s="105"/>
      <c r="J123" s="108">
        <v>43781</v>
      </c>
      <c r="K123" s="108" t="str">
        <f t="shared" si="176"/>
        <v>NV11843781VàoSáng</v>
      </c>
      <c r="L123" s="102" t="str">
        <f>IFERROR(VLOOKUP(K123,'1. Vân tay'!$F:$G,2,0),0)</f>
        <v>08:02:53</v>
      </c>
      <c r="M123" s="108" t="str">
        <f t="shared" si="177"/>
        <v>NV11843781RaSáng</v>
      </c>
      <c r="N123" s="102">
        <f>IFERROR(VLOOKUP(M123,'1. Vân tay'!$F:$G,2,0),0)</f>
        <v>0</v>
      </c>
      <c r="O123" s="108" t="str">
        <f t="shared" si="178"/>
        <v>NV11843781VàoChiều</v>
      </c>
      <c r="P123" s="102">
        <f>IFERROR(VLOOKUP(O123,'1. Vân tay'!$F:$G,2,0),0)</f>
        <v>0</v>
      </c>
      <c r="Q123" s="108" t="str">
        <f t="shared" si="179"/>
        <v>NV11843781RaChiều</v>
      </c>
      <c r="R123" s="102" t="str">
        <f>IFERROR(VLOOKUP(Q123,'1. Vân tay'!$F:$G,2,0),0)</f>
        <v>17:32:53</v>
      </c>
      <c r="S123" s="102">
        <f t="shared" si="180"/>
        <v>0</v>
      </c>
      <c r="T123" s="109">
        <v>0.33333333333333331</v>
      </c>
      <c r="U123" s="109">
        <v>0.5</v>
      </c>
      <c r="V123" s="109">
        <v>0.5625</v>
      </c>
      <c r="W123" s="109">
        <v>0.72916666666666663</v>
      </c>
      <c r="X123" s="102">
        <f>HDSD!$F$4</f>
        <v>5</v>
      </c>
      <c r="Y123" s="102">
        <f>SUMIFS('2. Đi muộn về sớm'!$K:$K,
'2. Đi muộn về sớm'!$B:$B,$A123,
'2. Đi muộn về sớm'!$D:$D,$J123)</f>
        <v>0</v>
      </c>
      <c r="Z123" s="110">
        <f t="shared" si="181"/>
        <v>2.8833333333333333</v>
      </c>
      <c r="AA123" s="110">
        <f t="shared" si="182"/>
        <v>0</v>
      </c>
      <c r="AB123" s="111">
        <f t="shared" si="183"/>
        <v>2.8833333333333333</v>
      </c>
      <c r="AC123" s="112">
        <f t="shared" si="108"/>
        <v>0</v>
      </c>
      <c r="AD123" s="113">
        <f t="shared" si="109"/>
        <v>0</v>
      </c>
      <c r="AE123" s="111">
        <f t="shared" si="184"/>
        <v>0</v>
      </c>
      <c r="AF123" s="113">
        <f t="shared" si="110"/>
        <v>0</v>
      </c>
      <c r="AG123" s="113">
        <f t="shared" si="111"/>
        <v>0</v>
      </c>
      <c r="AH123" s="114">
        <f t="shared" si="148"/>
        <v>9.5</v>
      </c>
      <c r="AI123" s="102" t="str">
        <f t="shared" si="112"/>
        <v>X:8</v>
      </c>
      <c r="AJ123" s="102" t="str">
        <f t="shared" si="113"/>
        <v>NV11843781</v>
      </c>
      <c r="AK123" s="102" t="str">
        <f>IF(OR(J123&lt;D123,J123&gt;F123),"",
IFERROR(INDEX('3. Đơn xin nghỉ'!$K:$K,MATCH('4. Tổng hợp dữ liệu'!AJ123,'3. Đơn xin nghỉ'!$I:$I,0),1),
IF(AND(AU123="Không CC",I123&lt;&gt;1),"Ro:8","")))</f>
        <v/>
      </c>
      <c r="AL123" s="102" t="str">
        <f t="shared" si="114"/>
        <v/>
      </c>
      <c r="AM123" s="102" t="str">
        <f t="shared" si="185"/>
        <v>X:8</v>
      </c>
      <c r="AN123" s="102" t="s">
        <v>92</v>
      </c>
      <c r="AO123" s="102"/>
      <c r="AP123" s="115">
        <f>IFERROR(VLOOKUP(AN123,'Quy đổi công'!A:D,3,0),0)</f>
        <v>1</v>
      </c>
      <c r="AQ123" s="115">
        <f>IFERROR(VLOOKUP(AN123,'Quy đổi công'!A:D,4,0),0)</f>
        <v>0</v>
      </c>
      <c r="AR123" s="115">
        <f t="shared" si="115"/>
        <v>0</v>
      </c>
      <c r="AS123" s="115">
        <f t="shared" si="186"/>
        <v>1</v>
      </c>
      <c r="AT123" s="115">
        <f t="shared" si="187"/>
        <v>0</v>
      </c>
      <c r="AU123" s="102" t="str">
        <f t="shared" si="116"/>
        <v/>
      </c>
      <c r="AV123" s="102" t="str">
        <f t="shared" si="117"/>
        <v/>
      </c>
      <c r="AW123" s="102" t="str">
        <f t="shared" si="118"/>
        <v/>
      </c>
      <c r="AX123" s="102" t="str">
        <f t="shared" si="119"/>
        <v/>
      </c>
      <c r="AY123" s="102" t="str">
        <f t="shared" si="120"/>
        <v/>
      </c>
      <c r="AZ123" s="102"/>
      <c r="BA123" s="102">
        <f>IF(AV123&lt;&gt;0,COUNTIFS($A$7:A123,A123,$AV$7:AV123,"Quên check in"))
+IF(AW123&lt;&gt;0,COUNTIFS($A$7:A123,A123,$AW$7:AW123,"Quên check in"))
+IF(AX123&lt;&gt;0,COUNTIFS($A$7:A123,A123,$AX$7:AX123,"Quên check out"))
+IF(AY123&lt;&gt;0,COUNTIFS($A$7:A123,A123,$AY$7:AY123,"Quên check out"))</f>
        <v>0</v>
      </c>
      <c r="BB123" s="143">
        <f t="shared" si="121"/>
        <v>0</v>
      </c>
    </row>
    <row r="124" spans="1:54" s="83" customFormat="1" ht="14.1" customHeight="1" x14ac:dyDescent="0.3">
      <c r="A124" s="103" t="s">
        <v>11</v>
      </c>
      <c r="B124" s="104" t="s">
        <v>20</v>
      </c>
      <c r="C124" s="105">
        <v>4700000</v>
      </c>
      <c r="D124" s="106">
        <v>43467</v>
      </c>
      <c r="E124" s="107">
        <v>43617</v>
      </c>
      <c r="F124" s="107">
        <v>73415</v>
      </c>
      <c r="G124" s="105">
        <v>26</v>
      </c>
      <c r="H124" s="105">
        <f t="shared" si="175"/>
        <v>3</v>
      </c>
      <c r="I124" s="105"/>
      <c r="J124" s="108">
        <v>43781</v>
      </c>
      <c r="K124" s="108" t="str">
        <f t="shared" si="176"/>
        <v>NV12243781VàoSáng</v>
      </c>
      <c r="L124" s="102" t="str">
        <f>IFERROR(VLOOKUP(K124,'1. Vân tay'!$F:$G,2,0),0)</f>
        <v>08:01:16</v>
      </c>
      <c r="M124" s="108" t="str">
        <f t="shared" si="177"/>
        <v>NV12243781RaSáng</v>
      </c>
      <c r="N124" s="102">
        <f>IFERROR(VLOOKUP(M124,'1. Vân tay'!$F:$G,2,0),0)</f>
        <v>0</v>
      </c>
      <c r="O124" s="108" t="str">
        <f t="shared" si="178"/>
        <v>NV12243781VàoChiều</v>
      </c>
      <c r="P124" s="102">
        <f>IFERROR(VLOOKUP(O124,'1. Vân tay'!$F:$G,2,0),0)</f>
        <v>0</v>
      </c>
      <c r="Q124" s="108" t="str">
        <f t="shared" si="179"/>
        <v>NV12243781RaChiều</v>
      </c>
      <c r="R124" s="102" t="str">
        <f>IFERROR(VLOOKUP(Q124,'1. Vân tay'!$F:$G,2,0),0)</f>
        <v>17:34:02</v>
      </c>
      <c r="S124" s="102">
        <f t="shared" si="180"/>
        <v>0</v>
      </c>
      <c r="T124" s="109">
        <v>0.33333333333333331</v>
      </c>
      <c r="U124" s="109">
        <v>0.5</v>
      </c>
      <c r="V124" s="109">
        <v>0.5625</v>
      </c>
      <c r="W124" s="109">
        <v>0.72916666666666663</v>
      </c>
      <c r="X124" s="102">
        <f>HDSD!$F$4</f>
        <v>5</v>
      </c>
      <c r="Y124" s="102">
        <f>SUMIFS('2. Đi muộn về sớm'!$K:$K,
'2. Đi muộn về sớm'!$B:$B,$A124,
'2. Đi muộn về sớm'!$D:$D,$J124)</f>
        <v>0</v>
      </c>
      <c r="Z124" s="110">
        <f t="shared" si="181"/>
        <v>1.2666666666666666</v>
      </c>
      <c r="AA124" s="110">
        <f t="shared" si="182"/>
        <v>0</v>
      </c>
      <c r="AB124" s="111">
        <f t="shared" si="183"/>
        <v>1.2666666666666666</v>
      </c>
      <c r="AC124" s="112">
        <f t="shared" si="108"/>
        <v>0</v>
      </c>
      <c r="AD124" s="113">
        <f t="shared" si="109"/>
        <v>0</v>
      </c>
      <c r="AE124" s="111">
        <f t="shared" si="184"/>
        <v>0</v>
      </c>
      <c r="AF124" s="113">
        <f t="shared" si="110"/>
        <v>0</v>
      </c>
      <c r="AG124" s="113">
        <f t="shared" si="111"/>
        <v>0</v>
      </c>
      <c r="AH124" s="114">
        <f t="shared" si="148"/>
        <v>9.5461111111111112</v>
      </c>
      <c r="AI124" s="102" t="str">
        <f t="shared" si="112"/>
        <v>X:8</v>
      </c>
      <c r="AJ124" s="102" t="str">
        <f t="shared" si="113"/>
        <v>NV12243781</v>
      </c>
      <c r="AK124" s="102" t="str">
        <f>IF(OR(J124&lt;D124,J124&gt;F124),"",
IFERROR(INDEX('3. Đơn xin nghỉ'!$K:$K,MATCH('4. Tổng hợp dữ liệu'!AJ124,'3. Đơn xin nghỉ'!$I:$I,0),1),
IF(AND(AU124="Không CC",I124&lt;&gt;1),"Ro:8","")))</f>
        <v/>
      </c>
      <c r="AL124" s="102" t="str">
        <f t="shared" si="114"/>
        <v/>
      </c>
      <c r="AM124" s="102" t="str">
        <f t="shared" si="185"/>
        <v>X:8</v>
      </c>
      <c r="AN124" s="102" t="s">
        <v>92</v>
      </c>
      <c r="AO124" s="102"/>
      <c r="AP124" s="115">
        <f>IFERROR(VLOOKUP(AN124,'Quy đổi công'!A:D,3,0),0)</f>
        <v>1</v>
      </c>
      <c r="AQ124" s="115">
        <f>IFERROR(VLOOKUP(AN124,'Quy đổi công'!A:D,4,0),0)</f>
        <v>0</v>
      </c>
      <c r="AR124" s="115">
        <f t="shared" si="115"/>
        <v>0</v>
      </c>
      <c r="AS124" s="115">
        <f t="shared" si="186"/>
        <v>1</v>
      </c>
      <c r="AT124" s="115">
        <f t="shared" si="187"/>
        <v>0</v>
      </c>
      <c r="AU124" s="102" t="str">
        <f t="shared" si="116"/>
        <v/>
      </c>
      <c r="AV124" s="102" t="str">
        <f t="shared" si="117"/>
        <v/>
      </c>
      <c r="AW124" s="102" t="str">
        <f t="shared" si="118"/>
        <v/>
      </c>
      <c r="AX124" s="102" t="str">
        <f t="shared" si="119"/>
        <v/>
      </c>
      <c r="AY124" s="102" t="str">
        <f t="shared" si="120"/>
        <v/>
      </c>
      <c r="AZ124" s="102"/>
      <c r="BA124" s="102">
        <f>IF(AV124&lt;&gt;0,COUNTIFS($A$7:A124,A124,$AV$7:AV124,"Quên check in"))
+IF(AW124&lt;&gt;0,COUNTIFS($A$7:A124,A124,$AW$7:AW124,"Quên check in"))
+IF(AX124&lt;&gt;0,COUNTIFS($A$7:A124,A124,$AX$7:AX124,"Quên check out"))
+IF(AY124&lt;&gt;0,COUNTIFS($A$7:A124,A124,$AY$7:AY124,"Quên check out"))</f>
        <v>1</v>
      </c>
      <c r="BB124" s="143">
        <f t="shared" si="121"/>
        <v>0</v>
      </c>
    </row>
    <row r="125" spans="1:54" s="83" customFormat="1" ht="14.1" customHeight="1" x14ac:dyDescent="0.3">
      <c r="A125" s="103" t="s">
        <v>12</v>
      </c>
      <c r="B125" s="104" t="s">
        <v>21</v>
      </c>
      <c r="C125" s="105">
        <v>5000000</v>
      </c>
      <c r="D125" s="106">
        <v>43482</v>
      </c>
      <c r="E125" s="107">
        <v>43647</v>
      </c>
      <c r="F125" s="107">
        <v>73415</v>
      </c>
      <c r="G125" s="105">
        <v>26</v>
      </c>
      <c r="H125" s="105">
        <f t="shared" si="175"/>
        <v>3</v>
      </c>
      <c r="I125" s="105"/>
      <c r="J125" s="108">
        <v>43781</v>
      </c>
      <c r="K125" s="108" t="str">
        <f t="shared" si="176"/>
        <v>NV12343781VàoSáng</v>
      </c>
      <c r="L125" s="102" t="str">
        <f>IFERROR(VLOOKUP(K125,'1. Vân tay'!$F:$G,2,0),0)</f>
        <v>07:55:16</v>
      </c>
      <c r="M125" s="108" t="str">
        <f t="shared" si="177"/>
        <v>NV12343781RaSáng</v>
      </c>
      <c r="N125" s="102">
        <f>IFERROR(VLOOKUP(M125,'1. Vân tay'!$F:$G,2,0),0)</f>
        <v>0</v>
      </c>
      <c r="O125" s="108" t="str">
        <f t="shared" si="178"/>
        <v>NV12343781VàoChiều</v>
      </c>
      <c r="P125" s="102">
        <f>IFERROR(VLOOKUP(O125,'1. Vân tay'!$F:$G,2,0),0)</f>
        <v>0</v>
      </c>
      <c r="Q125" s="108" t="str">
        <f t="shared" si="179"/>
        <v>NV12343781RaChiều</v>
      </c>
      <c r="R125" s="102" t="str">
        <f>IFERROR(VLOOKUP(Q125,'1. Vân tay'!$F:$G,2,0),0)</f>
        <v>17:40:19</v>
      </c>
      <c r="S125" s="102">
        <f t="shared" si="180"/>
        <v>0</v>
      </c>
      <c r="T125" s="109">
        <v>0.33333333333333331</v>
      </c>
      <c r="U125" s="109">
        <v>0.5</v>
      </c>
      <c r="V125" s="109">
        <v>0.5625</v>
      </c>
      <c r="W125" s="109">
        <v>0.72916666666666663</v>
      </c>
      <c r="X125" s="102">
        <f>HDSD!$F$4</f>
        <v>5</v>
      </c>
      <c r="Y125" s="102">
        <f>SUMIFS('2. Đi muộn về sớm'!$K:$K,
'2. Đi muộn về sớm'!$B:$B,$A125,
'2. Đi muộn về sớm'!$D:$D,$J125)</f>
        <v>0</v>
      </c>
      <c r="Z125" s="110">
        <f t="shared" si="181"/>
        <v>0</v>
      </c>
      <c r="AA125" s="110">
        <f t="shared" si="182"/>
        <v>0</v>
      </c>
      <c r="AB125" s="111">
        <f t="shared" si="183"/>
        <v>0</v>
      </c>
      <c r="AC125" s="112">
        <f t="shared" si="108"/>
        <v>0</v>
      </c>
      <c r="AD125" s="113">
        <f t="shared" si="109"/>
        <v>0</v>
      </c>
      <c r="AE125" s="111">
        <f t="shared" si="184"/>
        <v>0</v>
      </c>
      <c r="AF125" s="113">
        <f t="shared" si="110"/>
        <v>0</v>
      </c>
      <c r="AG125" s="113">
        <f t="shared" si="111"/>
        <v>0</v>
      </c>
      <c r="AH125" s="114">
        <f t="shared" si="148"/>
        <v>9.7508333333333326</v>
      </c>
      <c r="AI125" s="102" t="str">
        <f t="shared" si="112"/>
        <v>X:8</v>
      </c>
      <c r="AJ125" s="102" t="str">
        <f t="shared" si="113"/>
        <v>NV12343781</v>
      </c>
      <c r="AK125" s="102" t="str">
        <f>IF(OR(J125&lt;D125,J125&gt;F125),"",
IFERROR(INDEX('3. Đơn xin nghỉ'!$K:$K,MATCH('4. Tổng hợp dữ liệu'!AJ125,'3. Đơn xin nghỉ'!$I:$I,0),1),
IF(AND(AU125="Không CC",I125&lt;&gt;1),"Ro:8","")))</f>
        <v/>
      </c>
      <c r="AL125" s="102" t="str">
        <f t="shared" si="114"/>
        <v/>
      </c>
      <c r="AM125" s="102" t="str">
        <f t="shared" si="185"/>
        <v>X:8</v>
      </c>
      <c r="AN125" s="102" t="s">
        <v>92</v>
      </c>
      <c r="AO125" s="102"/>
      <c r="AP125" s="115">
        <f>IFERROR(VLOOKUP(AN125,'Quy đổi công'!A:D,3,0),0)</f>
        <v>1</v>
      </c>
      <c r="AQ125" s="115">
        <f>IFERROR(VLOOKUP(AN125,'Quy đổi công'!A:D,4,0),0)</f>
        <v>0</v>
      </c>
      <c r="AR125" s="115">
        <f t="shared" si="115"/>
        <v>0</v>
      </c>
      <c r="AS125" s="115">
        <f t="shared" si="186"/>
        <v>1</v>
      </c>
      <c r="AT125" s="115">
        <f t="shared" si="187"/>
        <v>0</v>
      </c>
      <c r="AU125" s="102" t="str">
        <f t="shared" si="116"/>
        <v/>
      </c>
      <c r="AV125" s="102" t="str">
        <f t="shared" si="117"/>
        <v/>
      </c>
      <c r="AW125" s="102" t="str">
        <f t="shared" si="118"/>
        <v/>
      </c>
      <c r="AX125" s="102" t="str">
        <f t="shared" si="119"/>
        <v/>
      </c>
      <c r="AY125" s="102" t="str">
        <f t="shared" si="120"/>
        <v/>
      </c>
      <c r="AZ125" s="102"/>
      <c r="BA125" s="102">
        <f>IF(AV125&lt;&gt;0,COUNTIFS($A$7:A125,A125,$AV$7:AV125,"Quên check in"))
+IF(AW125&lt;&gt;0,COUNTIFS($A$7:A125,A125,$AW$7:AW125,"Quên check in"))
+IF(AX125&lt;&gt;0,COUNTIFS($A$7:A125,A125,$AX$7:AX125,"Quên check out"))
+IF(AY125&lt;&gt;0,COUNTIFS($A$7:A125,A125,$AY$7:AY125,"Quên check out"))</f>
        <v>0</v>
      </c>
      <c r="BB125" s="143">
        <f t="shared" si="121"/>
        <v>0</v>
      </c>
    </row>
    <row r="126" spans="1:54" s="83" customFormat="1" ht="14.1" customHeight="1" x14ac:dyDescent="0.3">
      <c r="A126" s="103" t="s">
        <v>13</v>
      </c>
      <c r="B126" s="104" t="s">
        <v>22</v>
      </c>
      <c r="C126" s="105">
        <v>4700000</v>
      </c>
      <c r="D126" s="106">
        <v>43531</v>
      </c>
      <c r="E126" s="107">
        <v>43647</v>
      </c>
      <c r="F126" s="107">
        <v>73415</v>
      </c>
      <c r="G126" s="105">
        <v>26</v>
      </c>
      <c r="H126" s="105">
        <f t="shared" si="175"/>
        <v>3</v>
      </c>
      <c r="I126" s="105"/>
      <c r="J126" s="108">
        <v>43781</v>
      </c>
      <c r="K126" s="108" t="str">
        <f t="shared" si="176"/>
        <v>NV12643781VàoSáng</v>
      </c>
      <c r="L126" s="102" t="str">
        <f>IFERROR(VLOOKUP(K126,'1. Vân tay'!$F:$G,2,0),0)</f>
        <v>08:00:30</v>
      </c>
      <c r="M126" s="108" t="str">
        <f t="shared" si="177"/>
        <v>NV12643781RaSáng</v>
      </c>
      <c r="N126" s="102">
        <f>IFERROR(VLOOKUP(M126,'1. Vân tay'!$F:$G,2,0),0)</f>
        <v>0</v>
      </c>
      <c r="O126" s="108" t="str">
        <f t="shared" si="178"/>
        <v>NV12643781VàoChiều</v>
      </c>
      <c r="P126" s="102">
        <f>IFERROR(VLOOKUP(O126,'1. Vân tay'!$F:$G,2,0),0)</f>
        <v>0</v>
      </c>
      <c r="Q126" s="108" t="str">
        <f t="shared" si="179"/>
        <v>NV12643781RaChiều</v>
      </c>
      <c r="R126" s="102" t="str">
        <f>IFERROR(VLOOKUP(Q126,'1. Vân tay'!$F:$G,2,0),0)</f>
        <v>17:37:00</v>
      </c>
      <c r="S126" s="102">
        <f t="shared" si="180"/>
        <v>0</v>
      </c>
      <c r="T126" s="109">
        <v>0.33333333333333331</v>
      </c>
      <c r="U126" s="109">
        <v>0.5</v>
      </c>
      <c r="V126" s="109">
        <v>0.5625</v>
      </c>
      <c r="W126" s="109">
        <v>0.72916666666666663</v>
      </c>
      <c r="X126" s="102">
        <f>HDSD!$F$4</f>
        <v>5</v>
      </c>
      <c r="Y126" s="102">
        <f>SUMIFS('2. Đi muộn về sớm'!$K:$K,
'2. Đi muộn về sớm'!$B:$B,$A126,
'2. Đi muộn về sớm'!$D:$D,$J126)</f>
        <v>0</v>
      </c>
      <c r="Z126" s="110">
        <f t="shared" si="181"/>
        <v>0.5</v>
      </c>
      <c r="AA126" s="110">
        <f t="shared" si="182"/>
        <v>0</v>
      </c>
      <c r="AB126" s="111">
        <f t="shared" si="183"/>
        <v>0.5</v>
      </c>
      <c r="AC126" s="112">
        <f t="shared" si="108"/>
        <v>0</v>
      </c>
      <c r="AD126" s="113">
        <f t="shared" si="109"/>
        <v>0</v>
      </c>
      <c r="AE126" s="111">
        <f t="shared" si="184"/>
        <v>0</v>
      </c>
      <c r="AF126" s="113">
        <f t="shared" si="110"/>
        <v>0</v>
      </c>
      <c r="AG126" s="113">
        <f t="shared" si="111"/>
        <v>0</v>
      </c>
      <c r="AH126" s="114">
        <f t="shared" si="148"/>
        <v>9.6083333333333325</v>
      </c>
      <c r="AI126" s="102" t="str">
        <f t="shared" si="112"/>
        <v>X:8</v>
      </c>
      <c r="AJ126" s="102" t="str">
        <f t="shared" si="113"/>
        <v>NV12643781</v>
      </c>
      <c r="AK126" s="102" t="str">
        <f>IF(OR(J126&lt;D126,J126&gt;F126),"",
IFERROR(INDEX('3. Đơn xin nghỉ'!$K:$K,MATCH('4. Tổng hợp dữ liệu'!AJ126,'3. Đơn xin nghỉ'!$I:$I,0),1),
IF(AND(AU126="Không CC",I126&lt;&gt;1),"Ro:8","")))</f>
        <v/>
      </c>
      <c r="AL126" s="102" t="str">
        <f t="shared" si="114"/>
        <v/>
      </c>
      <c r="AM126" s="102" t="str">
        <f t="shared" si="185"/>
        <v>X:8</v>
      </c>
      <c r="AN126" s="102" t="s">
        <v>92</v>
      </c>
      <c r="AO126" s="102"/>
      <c r="AP126" s="115">
        <f>IFERROR(VLOOKUP(AN126,'Quy đổi công'!A:D,3,0),0)</f>
        <v>1</v>
      </c>
      <c r="AQ126" s="115">
        <f>IFERROR(VLOOKUP(AN126,'Quy đổi công'!A:D,4,0),0)</f>
        <v>0</v>
      </c>
      <c r="AR126" s="115">
        <f t="shared" si="115"/>
        <v>0</v>
      </c>
      <c r="AS126" s="115">
        <f t="shared" si="186"/>
        <v>1</v>
      </c>
      <c r="AT126" s="115">
        <f t="shared" si="187"/>
        <v>0</v>
      </c>
      <c r="AU126" s="102" t="str">
        <f t="shared" si="116"/>
        <v/>
      </c>
      <c r="AV126" s="102" t="str">
        <f t="shared" si="117"/>
        <v/>
      </c>
      <c r="AW126" s="102" t="str">
        <f t="shared" si="118"/>
        <v/>
      </c>
      <c r="AX126" s="102" t="str">
        <f t="shared" si="119"/>
        <v/>
      </c>
      <c r="AY126" s="102" t="str">
        <f t="shared" si="120"/>
        <v/>
      </c>
      <c r="AZ126" s="102"/>
      <c r="BA126" s="102">
        <f>IF(AV126&lt;&gt;0,COUNTIFS($A$7:A126,A126,$AV$7:AV126,"Quên check in"))
+IF(AW126&lt;&gt;0,COUNTIFS($A$7:A126,A126,$AW$7:AW126,"Quên check in"))
+IF(AX126&lt;&gt;0,COUNTIFS($A$7:A126,A126,$AX$7:AX126,"Quên check out"))
+IF(AY126&lt;&gt;0,COUNTIFS($A$7:A126,A126,$AY$7:AY126,"Quên check out"))</f>
        <v>0</v>
      </c>
      <c r="BB126" s="143">
        <f t="shared" si="121"/>
        <v>0</v>
      </c>
    </row>
    <row r="127" spans="1:54" s="83" customFormat="1" ht="14.1" customHeight="1" x14ac:dyDescent="0.3">
      <c r="A127" s="103" t="s">
        <v>4</v>
      </c>
      <c r="B127" s="104" t="s">
        <v>14</v>
      </c>
      <c r="C127" s="105">
        <v>4700000</v>
      </c>
      <c r="D127" s="106">
        <v>43388</v>
      </c>
      <c r="E127" s="107">
        <v>43525</v>
      </c>
      <c r="F127" s="107">
        <v>73415</v>
      </c>
      <c r="G127" s="105">
        <v>26</v>
      </c>
      <c r="H127" s="105">
        <f t="shared" ref="H127:H136" si="188">WEEKDAY(J127,1)</f>
        <v>4</v>
      </c>
      <c r="I127" s="105"/>
      <c r="J127" s="108">
        <v>43782</v>
      </c>
      <c r="K127" s="108" t="str">
        <f t="shared" ref="K127:K136" si="189">$A127&amp;$J127&amp;"Vào"&amp;"Sáng"</f>
        <v>NV10143782VàoSáng</v>
      </c>
      <c r="L127" s="102" t="str">
        <f>IFERROR(VLOOKUP(K127,'1. Vân tay'!$F:$G,2,0),0)</f>
        <v>07:54:05</v>
      </c>
      <c r="M127" s="108" t="str">
        <f t="shared" ref="M127:M136" si="190">$A127&amp;$J127&amp;"Ra"&amp;"Sáng"</f>
        <v>NV10143782RaSáng</v>
      </c>
      <c r="N127" s="102">
        <f>IFERROR(VLOOKUP(M127,'1. Vân tay'!$F:$G,2,0),0)</f>
        <v>0</v>
      </c>
      <c r="O127" s="108" t="str">
        <f t="shared" ref="O127:O136" si="191">$A127&amp;$J127&amp;"Vào"&amp;"Chiều"</f>
        <v>NV10143782VàoChiều</v>
      </c>
      <c r="P127" s="102">
        <f>IFERROR(VLOOKUP(O127,'1. Vân tay'!$F:$G,2,0),0)</f>
        <v>0</v>
      </c>
      <c r="Q127" s="108" t="str">
        <f t="shared" ref="Q127:Q136" si="192">$A127&amp;$J127&amp;"Ra"&amp;"Chiều"</f>
        <v>NV10143782RaChiều</v>
      </c>
      <c r="R127" s="102" t="str">
        <f>IFERROR(VLOOKUP(Q127,'1. Vân tay'!$F:$G,2,0),0)</f>
        <v>17:31:30</v>
      </c>
      <c r="S127" s="102">
        <f t="shared" ref="S127:S136" si="193">IF(OR(
(AND(L127&lt;&gt;0,P127&lt;&gt;0)),
(AND(N127&lt;&gt;0,R127&lt;&gt;0))),"Kiểm tra",0)</f>
        <v>0</v>
      </c>
      <c r="T127" s="109">
        <v>0.33333333333333331</v>
      </c>
      <c r="U127" s="109">
        <v>0.5</v>
      </c>
      <c r="V127" s="109">
        <v>0.5625</v>
      </c>
      <c r="W127" s="109">
        <v>0.72916666666666663</v>
      </c>
      <c r="X127" s="102">
        <f>HDSD!$F$4</f>
        <v>5</v>
      </c>
      <c r="Y127" s="102">
        <f>SUMIFS('2. Đi muộn về sớm'!$K:$K,
'2. Đi muộn về sớm'!$B:$B,$A127,
'2. Đi muộn về sớm'!$D:$D,$J127)</f>
        <v>0</v>
      </c>
      <c r="Z127" s="110">
        <f t="shared" ref="Z127:Z136" si="194">IF(L127=0,0,IFERROR((HOUR(L127-T127)*60+MINUTE(L127-T127)+SECOND(L127-T127)/60),0))
+IF(N127=0,0, IFERROR((HOUR(U127-N127)*60+MINUTE(U127-N127)+SECOND(U127-N127)/60),0))
+IF(P127=0,0, IFERROR((HOUR(P127-V127)*60+MINUTE(P127-V127)+SECOND(P127-V127)/60),0))
+IF(R127=0,0, IFERROR((HOUR(W127-R127)*60+MINUTE(W127-R127)+SECOND(W127-R127)/60),0))</f>
        <v>0</v>
      </c>
      <c r="AA127" s="110">
        <f t="shared" ref="AA127:AA136" si="195">IF(L127=0,0,IFERROR((HOUR(L127-"09:00:00")*60+MINUTE(L127-"09:00:00")+SECOND(L127-"09:00:00")/60),0))
+IF(N127=0,0, IFERROR((HOUR(U127-N127)*60+MINUTE(U127-N127)+SECOND(U127-N127)/60),0))
+IF(P127=0,0, IFERROR((HOUR(P127-V127)*60+MINUTE(P127-V127)+SECOND(P127-V127)/60),0))
+IF(R127=0,0, IFERROR((HOUR("16:30:00"-R127)*60+MINUTE("16:30:00"-R127)+SECOND("16:30:00"-R127)/60),0))</f>
        <v>0</v>
      </c>
      <c r="AB127" s="111">
        <f t="shared" ref="AB127:AB136" si="196">Z127-AA127</f>
        <v>0</v>
      </c>
      <c r="AC127" s="112">
        <f t="shared" si="108"/>
        <v>0</v>
      </c>
      <c r="AD127" s="113">
        <f t="shared" si="109"/>
        <v>0</v>
      </c>
      <c r="AE127" s="111">
        <f t="shared" ref="AE127:AE136" si="197">AA127/60/8</f>
        <v>0</v>
      </c>
      <c r="AF127" s="113">
        <f t="shared" si="110"/>
        <v>0</v>
      </c>
      <c r="AG127" s="113">
        <f t="shared" si="111"/>
        <v>0</v>
      </c>
      <c r="AH127" s="114">
        <f t="shared" si="148"/>
        <v>9.6236111111111118</v>
      </c>
      <c r="AI127" s="102" t="str">
        <f t="shared" si="112"/>
        <v>X:8</v>
      </c>
      <c r="AJ127" s="102" t="str">
        <f t="shared" si="113"/>
        <v>NV10143782</v>
      </c>
      <c r="AK127" s="102" t="str">
        <f>IF(OR(J127&lt;D127,J127&gt;F127),"",
IFERROR(INDEX('3. Đơn xin nghỉ'!$K:$K,MATCH('4. Tổng hợp dữ liệu'!AJ127,'3. Đơn xin nghỉ'!$I:$I,0),1),
IF(AND(AU127="Không CC",I127&lt;&gt;1),"Ro:8","")))</f>
        <v/>
      </c>
      <c r="AL127" s="102" t="str">
        <f t="shared" si="114"/>
        <v/>
      </c>
      <c r="AM127" s="102" t="str">
        <f t="shared" ref="AM127:AM136" si="198">IF(OR(AI127="",AK127=""),AI127&amp;AK127,AI127&amp;","&amp;AK127)&amp;AL127</f>
        <v>X:8</v>
      </c>
      <c r="AN127" s="102" t="s">
        <v>92</v>
      </c>
      <c r="AO127" s="102"/>
      <c r="AP127" s="115">
        <f>IFERROR(VLOOKUP(AN127,'Quy đổi công'!A:D,3,0),0)</f>
        <v>1</v>
      </c>
      <c r="AQ127" s="115">
        <f>IFERROR(VLOOKUP(AN127,'Quy đổi công'!A:D,4,0),0)</f>
        <v>0</v>
      </c>
      <c r="AR127" s="115">
        <f t="shared" si="115"/>
        <v>0</v>
      </c>
      <c r="AS127" s="115">
        <f t="shared" ref="AS127:AS136" si="199">AP127-AR127</f>
        <v>1</v>
      </c>
      <c r="AT127" s="115">
        <f t="shared" ref="AT127:AT136" si="200">IF(AN127="P8",1)
+IF(OR(AN127="X:4,P:4",AN127="P:4,Rv:4",AN127="P:4,Ro:4"),1/2)</f>
        <v>0</v>
      </c>
      <c r="AU127" s="102" t="str">
        <f t="shared" si="116"/>
        <v/>
      </c>
      <c r="AV127" s="102" t="str">
        <f t="shared" si="117"/>
        <v/>
      </c>
      <c r="AW127" s="102" t="str">
        <f t="shared" si="118"/>
        <v/>
      </c>
      <c r="AX127" s="102" t="str">
        <f t="shared" si="119"/>
        <v/>
      </c>
      <c r="AY127" s="102" t="str">
        <f t="shared" si="120"/>
        <v/>
      </c>
      <c r="AZ127" s="102"/>
      <c r="BA127" s="102">
        <f>IF(AV127&lt;&gt;0,COUNTIFS($A$7:A127,A127,$AV$7:AV127,"Quên check in"))
+IF(AW127&lt;&gt;0,COUNTIFS($A$7:A127,A127,$AW$7:AW127,"Quên check in"))
+IF(AX127&lt;&gt;0,COUNTIFS($A$7:A127,A127,$AX$7:AX127,"Quên check out"))
+IF(AY127&lt;&gt;0,COUNTIFS($A$7:A127,A127,$AY$7:AY127,"Quên check out"))</f>
        <v>0</v>
      </c>
      <c r="BB127" s="143">
        <f t="shared" si="121"/>
        <v>0</v>
      </c>
    </row>
    <row r="128" spans="1:54" s="83" customFormat="1" ht="14.1" customHeight="1" x14ac:dyDescent="0.3">
      <c r="A128" s="103" t="s">
        <v>5</v>
      </c>
      <c r="B128" s="104" t="s">
        <v>28</v>
      </c>
      <c r="C128" s="105">
        <v>10000000</v>
      </c>
      <c r="D128" s="106">
        <v>43409</v>
      </c>
      <c r="E128" s="107">
        <v>43678</v>
      </c>
      <c r="F128" s="107">
        <v>73415</v>
      </c>
      <c r="G128" s="105">
        <v>26</v>
      </c>
      <c r="H128" s="105">
        <f t="shared" si="188"/>
        <v>4</v>
      </c>
      <c r="I128" s="105"/>
      <c r="J128" s="108">
        <v>43782</v>
      </c>
      <c r="K128" s="108" t="str">
        <f t="shared" si="189"/>
        <v>NV10743782VàoSáng</v>
      </c>
      <c r="L128" s="102" t="str">
        <f>IFERROR(VLOOKUP(K128,'1. Vân tay'!$F:$G,2,0),0)</f>
        <v>08:03:27</v>
      </c>
      <c r="M128" s="108" t="str">
        <f t="shared" si="190"/>
        <v>NV10743782RaSáng</v>
      </c>
      <c r="N128" s="102">
        <f>IFERROR(VLOOKUP(M128,'1. Vân tay'!$F:$G,2,0),0)</f>
        <v>0</v>
      </c>
      <c r="O128" s="108" t="str">
        <f t="shared" si="191"/>
        <v>NV10743782VàoChiều</v>
      </c>
      <c r="P128" s="102">
        <f>IFERROR(VLOOKUP(O128,'1. Vân tay'!$F:$G,2,0),0)</f>
        <v>0</v>
      </c>
      <c r="Q128" s="108" t="str">
        <f t="shared" si="192"/>
        <v>NV10743782RaChiều</v>
      </c>
      <c r="R128" s="102" t="str">
        <f>IFERROR(VLOOKUP(Q128,'1. Vân tay'!$F:$G,2,0),0)</f>
        <v>17:31:15</v>
      </c>
      <c r="S128" s="102">
        <f t="shared" si="193"/>
        <v>0</v>
      </c>
      <c r="T128" s="109">
        <v>0.33333333333333331</v>
      </c>
      <c r="U128" s="109">
        <v>0.5</v>
      </c>
      <c r="V128" s="109">
        <v>0.5625</v>
      </c>
      <c r="W128" s="109">
        <v>0.72916666666666663</v>
      </c>
      <c r="X128" s="102">
        <f>HDSD!$F$4</f>
        <v>5</v>
      </c>
      <c r="Y128" s="102">
        <f>SUMIFS('2. Đi muộn về sớm'!$K:$K,
'2. Đi muộn về sớm'!$B:$B,$A128,
'2. Đi muộn về sớm'!$D:$D,$J128)</f>
        <v>0</v>
      </c>
      <c r="Z128" s="110">
        <f t="shared" si="194"/>
        <v>3.45</v>
      </c>
      <c r="AA128" s="110">
        <f t="shared" si="195"/>
        <v>0</v>
      </c>
      <c r="AB128" s="111">
        <f t="shared" si="196"/>
        <v>3.45</v>
      </c>
      <c r="AC128" s="112">
        <f t="shared" si="108"/>
        <v>0</v>
      </c>
      <c r="AD128" s="113">
        <f t="shared" si="109"/>
        <v>0</v>
      </c>
      <c r="AE128" s="111">
        <f t="shared" si="197"/>
        <v>0</v>
      </c>
      <c r="AF128" s="113">
        <f t="shared" si="110"/>
        <v>0</v>
      </c>
      <c r="AG128" s="113">
        <f t="shared" si="111"/>
        <v>0</v>
      </c>
      <c r="AH128" s="114">
        <f t="shared" si="148"/>
        <v>9.4633333333333329</v>
      </c>
      <c r="AI128" s="102" t="str">
        <f t="shared" si="112"/>
        <v>X:8</v>
      </c>
      <c r="AJ128" s="102" t="str">
        <f t="shared" si="113"/>
        <v>NV10743782</v>
      </c>
      <c r="AK128" s="102" t="str">
        <f>IF(OR(J128&lt;D128,J128&gt;F128),"",
IFERROR(INDEX('3. Đơn xin nghỉ'!$K:$K,MATCH('4. Tổng hợp dữ liệu'!AJ128,'3. Đơn xin nghỉ'!$I:$I,0),1),
IF(AND(AU128="Không CC",I128&lt;&gt;1),"Ro:8","")))</f>
        <v/>
      </c>
      <c r="AL128" s="102" t="str">
        <f t="shared" si="114"/>
        <v/>
      </c>
      <c r="AM128" s="102" t="str">
        <f t="shared" si="198"/>
        <v>X:8</v>
      </c>
      <c r="AN128" s="102" t="s">
        <v>92</v>
      </c>
      <c r="AO128" s="102"/>
      <c r="AP128" s="115">
        <f>IFERROR(VLOOKUP(AN128,'Quy đổi công'!A:D,3,0),0)</f>
        <v>1</v>
      </c>
      <c r="AQ128" s="115">
        <f>IFERROR(VLOOKUP(AN128,'Quy đổi công'!A:D,4,0),0)</f>
        <v>0</v>
      </c>
      <c r="AR128" s="115">
        <f t="shared" si="115"/>
        <v>0</v>
      </c>
      <c r="AS128" s="115">
        <f t="shared" si="199"/>
        <v>1</v>
      </c>
      <c r="AT128" s="115">
        <f t="shared" si="200"/>
        <v>0</v>
      </c>
      <c r="AU128" s="102" t="str">
        <f t="shared" si="116"/>
        <v/>
      </c>
      <c r="AV128" s="102" t="str">
        <f t="shared" si="117"/>
        <v/>
      </c>
      <c r="AW128" s="102" t="str">
        <f t="shared" si="118"/>
        <v/>
      </c>
      <c r="AX128" s="102" t="str">
        <f t="shared" si="119"/>
        <v/>
      </c>
      <c r="AY128" s="102" t="str">
        <f t="shared" si="120"/>
        <v/>
      </c>
      <c r="AZ128" s="102"/>
      <c r="BA128" s="102">
        <f>IF(AV128&lt;&gt;0,COUNTIFS($A$7:A128,A128,$AV$7:AV128,"Quên check in"))
+IF(AW128&lt;&gt;0,COUNTIFS($A$7:A128,A128,$AW$7:AW128,"Quên check in"))
+IF(AX128&lt;&gt;0,COUNTIFS($A$7:A128,A128,$AX$7:AX128,"Quên check out"))
+IF(AY128&lt;&gt;0,COUNTIFS($A$7:A128,A128,$AY$7:AY128,"Quên check out"))</f>
        <v>1</v>
      </c>
      <c r="BB128" s="143">
        <f t="shared" si="121"/>
        <v>0</v>
      </c>
    </row>
    <row r="129" spans="1:54" s="83" customFormat="1" ht="14.1" customHeight="1" x14ac:dyDescent="0.3">
      <c r="A129" s="103" t="s">
        <v>6</v>
      </c>
      <c r="B129" s="104" t="s">
        <v>15</v>
      </c>
      <c r="C129" s="105">
        <v>4700000</v>
      </c>
      <c r="D129" s="106">
        <v>43409</v>
      </c>
      <c r="E129" s="107">
        <v>43617</v>
      </c>
      <c r="F129" s="107">
        <v>73415</v>
      </c>
      <c r="G129" s="105">
        <v>26</v>
      </c>
      <c r="H129" s="105">
        <f t="shared" si="188"/>
        <v>4</v>
      </c>
      <c r="I129" s="105"/>
      <c r="J129" s="108">
        <v>43782</v>
      </c>
      <c r="K129" s="108" t="str">
        <f t="shared" si="189"/>
        <v>NV10843782VàoSáng</v>
      </c>
      <c r="L129" s="102" t="str">
        <f>IFERROR(VLOOKUP(K129,'1. Vân tay'!$F:$G,2,0),0)</f>
        <v>08:00:59</v>
      </c>
      <c r="M129" s="108" t="str">
        <f t="shared" si="190"/>
        <v>NV10843782RaSáng</v>
      </c>
      <c r="N129" s="102">
        <f>IFERROR(VLOOKUP(M129,'1. Vân tay'!$F:$G,2,0),0)</f>
        <v>0</v>
      </c>
      <c r="O129" s="108" t="str">
        <f t="shared" si="191"/>
        <v>NV10843782VàoChiều</v>
      </c>
      <c r="P129" s="102">
        <f>IFERROR(VLOOKUP(O129,'1. Vân tay'!$F:$G,2,0),0)</f>
        <v>0</v>
      </c>
      <c r="Q129" s="108" t="str">
        <f t="shared" si="192"/>
        <v>NV10843782RaChiều</v>
      </c>
      <c r="R129" s="102" t="str">
        <f>IFERROR(VLOOKUP(Q129,'1. Vân tay'!$F:$G,2,0),0)</f>
        <v>17:38:57</v>
      </c>
      <c r="S129" s="102">
        <f t="shared" si="193"/>
        <v>0</v>
      </c>
      <c r="T129" s="109">
        <v>0.33333333333333331</v>
      </c>
      <c r="U129" s="109">
        <v>0.5</v>
      </c>
      <c r="V129" s="109">
        <v>0.5625</v>
      </c>
      <c r="W129" s="109">
        <v>0.72916666666666663</v>
      </c>
      <c r="X129" s="102">
        <f>HDSD!$F$4</f>
        <v>5</v>
      </c>
      <c r="Y129" s="102">
        <f>SUMIFS('2. Đi muộn về sớm'!$K:$K,
'2. Đi muộn về sớm'!$B:$B,$A129,
'2. Đi muộn về sớm'!$D:$D,$J129)</f>
        <v>0</v>
      </c>
      <c r="Z129" s="110">
        <f t="shared" si="194"/>
        <v>0.98333333333333328</v>
      </c>
      <c r="AA129" s="110">
        <f t="shared" si="195"/>
        <v>0</v>
      </c>
      <c r="AB129" s="111">
        <f t="shared" si="196"/>
        <v>0.98333333333333328</v>
      </c>
      <c r="AC129" s="112">
        <f t="shared" si="108"/>
        <v>0</v>
      </c>
      <c r="AD129" s="113">
        <f t="shared" si="109"/>
        <v>0</v>
      </c>
      <c r="AE129" s="111">
        <f t="shared" si="197"/>
        <v>0</v>
      </c>
      <c r="AF129" s="113">
        <f t="shared" si="110"/>
        <v>0</v>
      </c>
      <c r="AG129" s="113">
        <f t="shared" si="111"/>
        <v>0</v>
      </c>
      <c r="AH129" s="114">
        <f t="shared" si="148"/>
        <v>9.632777777777779</v>
      </c>
      <c r="AI129" s="102" t="str">
        <f t="shared" si="112"/>
        <v>X:8</v>
      </c>
      <c r="AJ129" s="102" t="str">
        <f t="shared" si="113"/>
        <v>NV10843782</v>
      </c>
      <c r="AK129" s="102" t="str">
        <f>IF(OR(J129&lt;D129,J129&gt;F129),"",
IFERROR(INDEX('3. Đơn xin nghỉ'!$K:$K,MATCH('4. Tổng hợp dữ liệu'!AJ129,'3. Đơn xin nghỉ'!$I:$I,0),1),
IF(AND(AU129="Không CC",I129&lt;&gt;1),"Ro:8","")))</f>
        <v/>
      </c>
      <c r="AL129" s="102" t="str">
        <f t="shared" si="114"/>
        <v/>
      </c>
      <c r="AM129" s="102" t="str">
        <f t="shared" si="198"/>
        <v>X:8</v>
      </c>
      <c r="AN129" s="102" t="s">
        <v>92</v>
      </c>
      <c r="AO129" s="102"/>
      <c r="AP129" s="115">
        <f>IFERROR(VLOOKUP(AN129,'Quy đổi công'!A:D,3,0),0)</f>
        <v>1</v>
      </c>
      <c r="AQ129" s="115">
        <f>IFERROR(VLOOKUP(AN129,'Quy đổi công'!A:D,4,0),0)</f>
        <v>0</v>
      </c>
      <c r="AR129" s="115">
        <f t="shared" si="115"/>
        <v>0</v>
      </c>
      <c r="AS129" s="115">
        <f t="shared" si="199"/>
        <v>1</v>
      </c>
      <c r="AT129" s="115">
        <f t="shared" si="200"/>
        <v>0</v>
      </c>
      <c r="AU129" s="102" t="str">
        <f t="shared" si="116"/>
        <v/>
      </c>
      <c r="AV129" s="102" t="str">
        <f t="shared" si="117"/>
        <v/>
      </c>
      <c r="AW129" s="102" t="str">
        <f t="shared" si="118"/>
        <v/>
      </c>
      <c r="AX129" s="102" t="str">
        <f t="shared" si="119"/>
        <v/>
      </c>
      <c r="AY129" s="102" t="str">
        <f t="shared" si="120"/>
        <v/>
      </c>
      <c r="AZ129" s="102"/>
      <c r="BA129" s="102">
        <f>IF(AV129&lt;&gt;0,COUNTIFS($A$7:A129,A129,$AV$7:AV129,"Quên check in"))
+IF(AW129&lt;&gt;0,COUNTIFS($A$7:A129,A129,$AW$7:AW129,"Quên check in"))
+IF(AX129&lt;&gt;0,COUNTIFS($A$7:A129,A129,$AX$7:AX129,"Quên check out"))
+IF(AY129&lt;&gt;0,COUNTIFS($A$7:A129,A129,$AY$7:AY129,"Quên check out"))</f>
        <v>0</v>
      </c>
      <c r="BB129" s="143">
        <f t="shared" si="121"/>
        <v>0</v>
      </c>
    </row>
    <row r="130" spans="1:54" s="83" customFormat="1" ht="14.1" customHeight="1" x14ac:dyDescent="0.3">
      <c r="A130" s="103" t="s">
        <v>7</v>
      </c>
      <c r="B130" s="104" t="s">
        <v>16</v>
      </c>
      <c r="C130" s="105">
        <v>5000000</v>
      </c>
      <c r="D130" s="106">
        <v>43416</v>
      </c>
      <c r="E130" s="107">
        <v>43617</v>
      </c>
      <c r="F130" s="107">
        <v>73415</v>
      </c>
      <c r="G130" s="105">
        <v>26</v>
      </c>
      <c r="H130" s="105">
        <f t="shared" si="188"/>
        <v>4</v>
      </c>
      <c r="I130" s="105"/>
      <c r="J130" s="108">
        <v>43782</v>
      </c>
      <c r="K130" s="108" t="str">
        <f t="shared" si="189"/>
        <v>NV10943782VàoSáng</v>
      </c>
      <c r="L130" s="102" t="str">
        <f>IFERROR(VLOOKUP(K130,'1. Vân tay'!$F:$G,2,0),0)</f>
        <v>07:46:57</v>
      </c>
      <c r="M130" s="108" t="str">
        <f t="shared" si="190"/>
        <v>NV10943782RaSáng</v>
      </c>
      <c r="N130" s="102">
        <f>IFERROR(VLOOKUP(M130,'1. Vân tay'!$F:$G,2,0),0)</f>
        <v>0</v>
      </c>
      <c r="O130" s="108" t="str">
        <f t="shared" si="191"/>
        <v>NV10943782VàoChiều</v>
      </c>
      <c r="P130" s="102">
        <f>IFERROR(VLOOKUP(O130,'1. Vân tay'!$F:$G,2,0),0)</f>
        <v>0</v>
      </c>
      <c r="Q130" s="108" t="str">
        <f t="shared" si="192"/>
        <v>NV10943782RaChiều</v>
      </c>
      <c r="R130" s="102" t="str">
        <f>IFERROR(VLOOKUP(Q130,'1. Vân tay'!$F:$G,2,0),0)</f>
        <v>17:32:37</v>
      </c>
      <c r="S130" s="102">
        <f t="shared" si="193"/>
        <v>0</v>
      </c>
      <c r="T130" s="109">
        <v>0.33333333333333331</v>
      </c>
      <c r="U130" s="109">
        <v>0.5</v>
      </c>
      <c r="V130" s="109">
        <v>0.5625</v>
      </c>
      <c r="W130" s="109">
        <v>0.72916666666666663</v>
      </c>
      <c r="X130" s="102">
        <f>HDSD!$F$4</f>
        <v>5</v>
      </c>
      <c r="Y130" s="102">
        <f>SUMIFS('2. Đi muộn về sớm'!$K:$K,
'2. Đi muộn về sớm'!$B:$B,$A130,
'2. Đi muộn về sớm'!$D:$D,$J130)</f>
        <v>0</v>
      </c>
      <c r="Z130" s="110">
        <f t="shared" si="194"/>
        <v>0</v>
      </c>
      <c r="AA130" s="110">
        <f t="shared" si="195"/>
        <v>0</v>
      </c>
      <c r="AB130" s="111">
        <f t="shared" si="196"/>
        <v>0</v>
      </c>
      <c r="AC130" s="112">
        <f t="shared" si="108"/>
        <v>0</v>
      </c>
      <c r="AD130" s="113">
        <f t="shared" si="109"/>
        <v>0</v>
      </c>
      <c r="AE130" s="111">
        <f t="shared" si="197"/>
        <v>0</v>
      </c>
      <c r="AF130" s="113">
        <f t="shared" si="110"/>
        <v>0</v>
      </c>
      <c r="AG130" s="113">
        <f t="shared" si="111"/>
        <v>0</v>
      </c>
      <c r="AH130" s="114">
        <f t="shared" si="148"/>
        <v>9.7611111111111111</v>
      </c>
      <c r="AI130" s="102" t="str">
        <f t="shared" si="112"/>
        <v>X:8</v>
      </c>
      <c r="AJ130" s="102" t="str">
        <f t="shared" si="113"/>
        <v>NV10943782</v>
      </c>
      <c r="AK130" s="102" t="str">
        <f>IF(OR(J130&lt;D130,J130&gt;F130),"",
IFERROR(INDEX('3. Đơn xin nghỉ'!$K:$K,MATCH('4. Tổng hợp dữ liệu'!AJ130,'3. Đơn xin nghỉ'!$I:$I,0),1),
IF(AND(AU130="Không CC",I130&lt;&gt;1),"Ro:8","")))</f>
        <v/>
      </c>
      <c r="AL130" s="102" t="str">
        <f t="shared" si="114"/>
        <v/>
      </c>
      <c r="AM130" s="102" t="str">
        <f t="shared" si="198"/>
        <v>X:8</v>
      </c>
      <c r="AN130" s="102" t="s">
        <v>92</v>
      </c>
      <c r="AO130" s="102"/>
      <c r="AP130" s="115">
        <f>IFERROR(VLOOKUP(AN130,'Quy đổi công'!A:D,3,0),0)</f>
        <v>1</v>
      </c>
      <c r="AQ130" s="115">
        <f>IFERROR(VLOOKUP(AN130,'Quy đổi công'!A:D,4,0),0)</f>
        <v>0</v>
      </c>
      <c r="AR130" s="115">
        <f t="shared" si="115"/>
        <v>0</v>
      </c>
      <c r="AS130" s="115">
        <f t="shared" si="199"/>
        <v>1</v>
      </c>
      <c r="AT130" s="115">
        <f t="shared" si="200"/>
        <v>0</v>
      </c>
      <c r="AU130" s="102" t="str">
        <f t="shared" si="116"/>
        <v/>
      </c>
      <c r="AV130" s="102" t="str">
        <f t="shared" si="117"/>
        <v/>
      </c>
      <c r="AW130" s="102" t="str">
        <f t="shared" si="118"/>
        <v/>
      </c>
      <c r="AX130" s="102" t="str">
        <f t="shared" si="119"/>
        <v/>
      </c>
      <c r="AY130" s="102" t="str">
        <f t="shared" si="120"/>
        <v/>
      </c>
      <c r="AZ130" s="102"/>
      <c r="BA130" s="102">
        <f>IF(AV130&lt;&gt;0,COUNTIFS($A$7:A130,A130,$AV$7:AV130,"Quên check in"))
+IF(AW130&lt;&gt;0,COUNTIFS($A$7:A130,A130,$AW$7:AW130,"Quên check in"))
+IF(AX130&lt;&gt;0,COUNTIFS($A$7:A130,A130,$AX$7:AX130,"Quên check out"))
+IF(AY130&lt;&gt;0,COUNTIFS($A$7:A130,A130,$AY$7:AY130,"Quên check out"))</f>
        <v>0</v>
      </c>
      <c r="BB130" s="143">
        <f t="shared" si="121"/>
        <v>0</v>
      </c>
    </row>
    <row r="131" spans="1:54" s="83" customFormat="1" ht="14.1" customHeight="1" x14ac:dyDescent="0.3">
      <c r="A131" s="103" t="s">
        <v>8</v>
      </c>
      <c r="B131" s="104" t="s">
        <v>17</v>
      </c>
      <c r="C131" s="105">
        <v>5000000</v>
      </c>
      <c r="D131" s="106">
        <v>43423</v>
      </c>
      <c r="E131" s="107">
        <v>43617</v>
      </c>
      <c r="F131" s="107">
        <v>73415</v>
      </c>
      <c r="G131" s="105">
        <v>26</v>
      </c>
      <c r="H131" s="105">
        <f t="shared" si="188"/>
        <v>4</v>
      </c>
      <c r="I131" s="105"/>
      <c r="J131" s="108">
        <v>43782</v>
      </c>
      <c r="K131" s="108" t="str">
        <f t="shared" si="189"/>
        <v>NV11343782VàoSáng</v>
      </c>
      <c r="L131" s="102" t="str">
        <f>IFERROR(VLOOKUP(K131,'1. Vân tay'!$F:$G,2,0),0)</f>
        <v>07:46:48</v>
      </c>
      <c r="M131" s="108" t="str">
        <f t="shared" si="190"/>
        <v>NV11343782RaSáng</v>
      </c>
      <c r="N131" s="102">
        <f>IFERROR(VLOOKUP(M131,'1. Vân tay'!$F:$G,2,0),0)</f>
        <v>0</v>
      </c>
      <c r="O131" s="108" t="str">
        <f t="shared" si="191"/>
        <v>NV11343782VàoChiều</v>
      </c>
      <c r="P131" s="102">
        <f>IFERROR(VLOOKUP(O131,'1. Vân tay'!$F:$G,2,0),0)</f>
        <v>0</v>
      </c>
      <c r="Q131" s="108" t="str">
        <f t="shared" si="192"/>
        <v>NV11343782RaChiều</v>
      </c>
      <c r="R131" s="102" t="str">
        <f>IFERROR(VLOOKUP(Q131,'1. Vân tay'!$F:$G,2,0),0)</f>
        <v>17:37:28</v>
      </c>
      <c r="S131" s="102">
        <f t="shared" si="193"/>
        <v>0</v>
      </c>
      <c r="T131" s="109">
        <v>0.33333333333333331</v>
      </c>
      <c r="U131" s="109">
        <v>0.5</v>
      </c>
      <c r="V131" s="109">
        <v>0.5625</v>
      </c>
      <c r="W131" s="109">
        <v>0.72916666666666663</v>
      </c>
      <c r="X131" s="102">
        <f>HDSD!$F$4</f>
        <v>5</v>
      </c>
      <c r="Y131" s="102">
        <f>SUMIFS('2. Đi muộn về sớm'!$K:$K,
'2. Đi muộn về sớm'!$B:$B,$A131,
'2. Đi muộn về sớm'!$D:$D,$J131)</f>
        <v>0</v>
      </c>
      <c r="Z131" s="110">
        <f t="shared" si="194"/>
        <v>0</v>
      </c>
      <c r="AA131" s="110">
        <f t="shared" si="195"/>
        <v>0</v>
      </c>
      <c r="AB131" s="111">
        <f t="shared" si="196"/>
        <v>0</v>
      </c>
      <c r="AC131" s="112">
        <f t="shared" si="108"/>
        <v>0</v>
      </c>
      <c r="AD131" s="113">
        <f t="shared" si="109"/>
        <v>0</v>
      </c>
      <c r="AE131" s="111">
        <f t="shared" si="197"/>
        <v>0</v>
      </c>
      <c r="AF131" s="113">
        <f t="shared" si="110"/>
        <v>0</v>
      </c>
      <c r="AG131" s="113">
        <f t="shared" si="111"/>
        <v>0</v>
      </c>
      <c r="AH131" s="114">
        <f t="shared" si="148"/>
        <v>9.844444444444445</v>
      </c>
      <c r="AI131" s="102" t="str">
        <f t="shared" si="112"/>
        <v>X:8</v>
      </c>
      <c r="AJ131" s="102" t="str">
        <f t="shared" si="113"/>
        <v>NV11343782</v>
      </c>
      <c r="AK131" s="102" t="str">
        <f>IF(OR(J131&lt;D131,J131&gt;F131),"",
IFERROR(INDEX('3. Đơn xin nghỉ'!$K:$K,MATCH('4. Tổng hợp dữ liệu'!AJ131,'3. Đơn xin nghỉ'!$I:$I,0),1),
IF(AND(AU131="Không CC",I131&lt;&gt;1),"Ro:8","")))</f>
        <v/>
      </c>
      <c r="AL131" s="102" t="str">
        <f t="shared" si="114"/>
        <v/>
      </c>
      <c r="AM131" s="102" t="str">
        <f t="shared" si="198"/>
        <v>X:8</v>
      </c>
      <c r="AN131" s="102" t="s">
        <v>92</v>
      </c>
      <c r="AO131" s="102"/>
      <c r="AP131" s="115">
        <f>IFERROR(VLOOKUP(AN131,'Quy đổi công'!A:D,3,0),0)</f>
        <v>1</v>
      </c>
      <c r="AQ131" s="115">
        <f>IFERROR(VLOOKUP(AN131,'Quy đổi công'!A:D,4,0),0)</f>
        <v>0</v>
      </c>
      <c r="AR131" s="115">
        <f t="shared" si="115"/>
        <v>0</v>
      </c>
      <c r="AS131" s="115">
        <f t="shared" si="199"/>
        <v>1</v>
      </c>
      <c r="AT131" s="115">
        <f t="shared" si="200"/>
        <v>0</v>
      </c>
      <c r="AU131" s="102" t="str">
        <f t="shared" si="116"/>
        <v/>
      </c>
      <c r="AV131" s="102" t="str">
        <f t="shared" si="117"/>
        <v/>
      </c>
      <c r="AW131" s="102" t="str">
        <f t="shared" si="118"/>
        <v/>
      </c>
      <c r="AX131" s="102" t="str">
        <f t="shared" si="119"/>
        <v/>
      </c>
      <c r="AY131" s="102" t="str">
        <f t="shared" si="120"/>
        <v/>
      </c>
      <c r="AZ131" s="102"/>
      <c r="BA131" s="102">
        <f>IF(AV131&lt;&gt;0,COUNTIFS($A$7:A131,A131,$AV$7:AV131,"Quên check in"))
+IF(AW131&lt;&gt;0,COUNTIFS($A$7:A131,A131,$AW$7:AW131,"Quên check in"))
+IF(AX131&lt;&gt;0,COUNTIFS($A$7:A131,A131,$AX$7:AX131,"Quên check out"))
+IF(AY131&lt;&gt;0,COUNTIFS($A$7:A131,A131,$AY$7:AY131,"Quên check out"))</f>
        <v>1</v>
      </c>
      <c r="BB131" s="143">
        <f t="shared" si="121"/>
        <v>0</v>
      </c>
    </row>
    <row r="132" spans="1:54" s="83" customFormat="1" ht="14.1" customHeight="1" x14ac:dyDescent="0.3">
      <c r="A132" s="103" t="s">
        <v>9</v>
      </c>
      <c r="B132" s="104" t="s">
        <v>18</v>
      </c>
      <c r="C132" s="105">
        <v>4900000</v>
      </c>
      <c r="D132" s="106">
        <v>43437</v>
      </c>
      <c r="E132" s="107">
        <v>43617</v>
      </c>
      <c r="F132" s="107">
        <v>73415</v>
      </c>
      <c r="G132" s="105">
        <v>26</v>
      </c>
      <c r="H132" s="105">
        <f t="shared" si="188"/>
        <v>4</v>
      </c>
      <c r="I132" s="105"/>
      <c r="J132" s="108">
        <v>43782</v>
      </c>
      <c r="K132" s="108" t="str">
        <f t="shared" si="189"/>
        <v>NV11443782VàoSáng</v>
      </c>
      <c r="L132" s="102" t="str">
        <f>IFERROR(VLOOKUP(K132,'1. Vân tay'!$F:$G,2,0),0)</f>
        <v>08:00:42</v>
      </c>
      <c r="M132" s="108" t="str">
        <f t="shared" si="190"/>
        <v>NV11443782RaSáng</v>
      </c>
      <c r="N132" s="102">
        <f>IFERROR(VLOOKUP(M132,'1. Vân tay'!$F:$G,2,0),0)</f>
        <v>0</v>
      </c>
      <c r="O132" s="108" t="str">
        <f t="shared" si="191"/>
        <v>NV11443782VàoChiều</v>
      </c>
      <c r="P132" s="102">
        <f>IFERROR(VLOOKUP(O132,'1. Vân tay'!$F:$G,2,0),0)</f>
        <v>0</v>
      </c>
      <c r="Q132" s="108" t="str">
        <f t="shared" si="192"/>
        <v>NV11443782RaChiều</v>
      </c>
      <c r="R132" s="102" t="str">
        <f>IFERROR(VLOOKUP(Q132,'1. Vân tay'!$F:$G,2,0),0)</f>
        <v>17:33:10</v>
      </c>
      <c r="S132" s="102">
        <f t="shared" si="193"/>
        <v>0</v>
      </c>
      <c r="T132" s="109">
        <v>0.33333333333333331</v>
      </c>
      <c r="U132" s="109">
        <v>0.5</v>
      </c>
      <c r="V132" s="109">
        <v>0.5625</v>
      </c>
      <c r="W132" s="109">
        <v>0.72916666666666663</v>
      </c>
      <c r="X132" s="102">
        <f>HDSD!$F$4</f>
        <v>5</v>
      </c>
      <c r="Y132" s="102">
        <f>SUMIFS('2. Đi muộn về sớm'!$K:$K,
'2. Đi muộn về sớm'!$B:$B,$A132,
'2. Đi muộn về sớm'!$D:$D,$J132)</f>
        <v>0</v>
      </c>
      <c r="Z132" s="110">
        <f t="shared" si="194"/>
        <v>0.7</v>
      </c>
      <c r="AA132" s="110">
        <f t="shared" si="195"/>
        <v>0</v>
      </c>
      <c r="AB132" s="111">
        <f t="shared" si="196"/>
        <v>0.7</v>
      </c>
      <c r="AC132" s="112">
        <f t="shared" si="108"/>
        <v>0</v>
      </c>
      <c r="AD132" s="113">
        <f t="shared" si="109"/>
        <v>0</v>
      </c>
      <c r="AE132" s="111">
        <f t="shared" si="197"/>
        <v>0</v>
      </c>
      <c r="AF132" s="113">
        <f t="shared" si="110"/>
        <v>0</v>
      </c>
      <c r="AG132" s="113">
        <f t="shared" si="111"/>
        <v>0</v>
      </c>
      <c r="AH132" s="114">
        <f t="shared" si="148"/>
        <v>9.5411111111111104</v>
      </c>
      <c r="AI132" s="102" t="str">
        <f t="shared" si="112"/>
        <v>X:8</v>
      </c>
      <c r="AJ132" s="102" t="str">
        <f t="shared" si="113"/>
        <v>NV11443782</v>
      </c>
      <c r="AK132" s="102" t="str">
        <f>IF(OR(J132&lt;D132,J132&gt;F132),"",
IFERROR(INDEX('3. Đơn xin nghỉ'!$K:$K,MATCH('4. Tổng hợp dữ liệu'!AJ132,'3. Đơn xin nghỉ'!$I:$I,0),1),
IF(AND(AU132="Không CC",I132&lt;&gt;1),"Ro:8","")))</f>
        <v/>
      </c>
      <c r="AL132" s="102" t="str">
        <f t="shared" si="114"/>
        <v/>
      </c>
      <c r="AM132" s="102" t="str">
        <f t="shared" si="198"/>
        <v>X:8</v>
      </c>
      <c r="AN132" s="102" t="s">
        <v>92</v>
      </c>
      <c r="AO132" s="102"/>
      <c r="AP132" s="115">
        <f>IFERROR(VLOOKUP(AN132,'Quy đổi công'!A:D,3,0),0)</f>
        <v>1</v>
      </c>
      <c r="AQ132" s="115">
        <f>IFERROR(VLOOKUP(AN132,'Quy đổi công'!A:D,4,0),0)</f>
        <v>0</v>
      </c>
      <c r="AR132" s="115">
        <f t="shared" si="115"/>
        <v>0</v>
      </c>
      <c r="AS132" s="115">
        <f t="shared" si="199"/>
        <v>1</v>
      </c>
      <c r="AT132" s="115">
        <f t="shared" si="200"/>
        <v>0</v>
      </c>
      <c r="AU132" s="102" t="str">
        <f t="shared" si="116"/>
        <v/>
      </c>
      <c r="AV132" s="102" t="str">
        <f t="shared" si="117"/>
        <v/>
      </c>
      <c r="AW132" s="102" t="str">
        <f t="shared" si="118"/>
        <v/>
      </c>
      <c r="AX132" s="102" t="str">
        <f t="shared" si="119"/>
        <v/>
      </c>
      <c r="AY132" s="102" t="str">
        <f t="shared" si="120"/>
        <v/>
      </c>
      <c r="AZ132" s="102"/>
      <c r="BA132" s="102">
        <f>IF(AV132&lt;&gt;0,COUNTIFS($A$7:A132,A132,$AV$7:AV132,"Quên check in"))
+IF(AW132&lt;&gt;0,COUNTIFS($A$7:A132,A132,$AW$7:AW132,"Quên check in"))
+IF(AX132&lt;&gt;0,COUNTIFS($A$7:A132,A132,$AX$7:AX132,"Quên check out"))
+IF(AY132&lt;&gt;0,COUNTIFS($A$7:A132,A132,$AY$7:AY132,"Quên check out"))</f>
        <v>1</v>
      </c>
      <c r="BB132" s="143">
        <f t="shared" si="121"/>
        <v>0</v>
      </c>
    </row>
    <row r="133" spans="1:54" s="83" customFormat="1" ht="14.1" customHeight="1" x14ac:dyDescent="0.3">
      <c r="A133" s="103" t="s">
        <v>10</v>
      </c>
      <c r="B133" s="104" t="s">
        <v>19</v>
      </c>
      <c r="C133" s="105">
        <v>5000000</v>
      </c>
      <c r="D133" s="106">
        <v>43445</v>
      </c>
      <c r="E133" s="107">
        <v>43647</v>
      </c>
      <c r="F133" s="107">
        <v>73415</v>
      </c>
      <c r="G133" s="105">
        <v>26</v>
      </c>
      <c r="H133" s="105">
        <f t="shared" si="188"/>
        <v>4</v>
      </c>
      <c r="I133" s="105"/>
      <c r="J133" s="108">
        <v>43782</v>
      </c>
      <c r="K133" s="108" t="str">
        <f t="shared" si="189"/>
        <v>NV11843782VàoSáng</v>
      </c>
      <c r="L133" s="102" t="str">
        <f>IFERROR(VLOOKUP(K133,'1. Vân tay'!$F:$G,2,0),0)</f>
        <v>08:06:45</v>
      </c>
      <c r="M133" s="108" t="str">
        <f t="shared" si="190"/>
        <v>NV11843782RaSáng</v>
      </c>
      <c r="N133" s="102">
        <f>IFERROR(VLOOKUP(M133,'1. Vân tay'!$F:$G,2,0),0)</f>
        <v>0</v>
      </c>
      <c r="O133" s="108" t="str">
        <f t="shared" si="191"/>
        <v>NV11843782VàoChiều</v>
      </c>
      <c r="P133" s="102">
        <f>IFERROR(VLOOKUP(O133,'1. Vân tay'!$F:$G,2,0),0)</f>
        <v>0</v>
      </c>
      <c r="Q133" s="108" t="str">
        <f t="shared" si="192"/>
        <v>NV11843782RaChiều</v>
      </c>
      <c r="R133" s="102" t="str">
        <f>IFERROR(VLOOKUP(Q133,'1. Vân tay'!$F:$G,2,0),0)</f>
        <v>17:32:15</v>
      </c>
      <c r="S133" s="102">
        <f t="shared" si="193"/>
        <v>0</v>
      </c>
      <c r="T133" s="109">
        <v>0.33333333333333331</v>
      </c>
      <c r="U133" s="109">
        <v>0.5</v>
      </c>
      <c r="V133" s="109">
        <v>0.5625</v>
      </c>
      <c r="W133" s="109">
        <v>0.72916666666666663</v>
      </c>
      <c r="X133" s="102">
        <f>HDSD!$F$4</f>
        <v>5</v>
      </c>
      <c r="Y133" s="102">
        <f>SUMIFS('2. Đi muộn về sớm'!$K:$K,
'2. Đi muộn về sớm'!$B:$B,$A133,
'2. Đi muộn về sớm'!$D:$D,$J133)</f>
        <v>20</v>
      </c>
      <c r="Z133" s="110">
        <f t="shared" si="194"/>
        <v>6.75</v>
      </c>
      <c r="AA133" s="110">
        <f t="shared" si="195"/>
        <v>0</v>
      </c>
      <c r="AB133" s="111">
        <f t="shared" si="196"/>
        <v>6.75</v>
      </c>
      <c r="AC133" s="112">
        <f t="shared" si="108"/>
        <v>0</v>
      </c>
      <c r="AD133" s="113">
        <f t="shared" si="109"/>
        <v>0</v>
      </c>
      <c r="AE133" s="111">
        <f t="shared" si="197"/>
        <v>0</v>
      </c>
      <c r="AF133" s="113">
        <f t="shared" si="110"/>
        <v>0</v>
      </c>
      <c r="AG133" s="113">
        <f t="shared" si="111"/>
        <v>0</v>
      </c>
      <c r="AH133" s="114">
        <f t="shared" si="148"/>
        <v>9.4249999999999989</v>
      </c>
      <c r="AI133" s="102" t="str">
        <f t="shared" si="112"/>
        <v>X:8</v>
      </c>
      <c r="AJ133" s="102" t="str">
        <f t="shared" si="113"/>
        <v>NV11843782</v>
      </c>
      <c r="AK133" s="102" t="str">
        <f>IF(OR(J133&lt;D133,J133&gt;F133),"",
IFERROR(INDEX('3. Đơn xin nghỉ'!$K:$K,MATCH('4. Tổng hợp dữ liệu'!AJ133,'3. Đơn xin nghỉ'!$I:$I,0),1),
IF(AND(AU133="Không CC",I133&lt;&gt;1),"Ro:8","")))</f>
        <v/>
      </c>
      <c r="AL133" s="102" t="str">
        <f t="shared" si="114"/>
        <v/>
      </c>
      <c r="AM133" s="102" t="str">
        <f t="shared" si="198"/>
        <v>X:8</v>
      </c>
      <c r="AN133" s="102" t="s">
        <v>92</v>
      </c>
      <c r="AO133" s="102"/>
      <c r="AP133" s="115">
        <f>IFERROR(VLOOKUP(AN133,'Quy đổi công'!A:D,3,0),0)</f>
        <v>1</v>
      </c>
      <c r="AQ133" s="115">
        <f>IFERROR(VLOOKUP(AN133,'Quy đổi công'!A:D,4,0),0)</f>
        <v>0</v>
      </c>
      <c r="AR133" s="115">
        <f t="shared" si="115"/>
        <v>0</v>
      </c>
      <c r="AS133" s="115">
        <f t="shared" si="199"/>
        <v>1</v>
      </c>
      <c r="AT133" s="115">
        <f t="shared" si="200"/>
        <v>0</v>
      </c>
      <c r="AU133" s="102" t="str">
        <f t="shared" si="116"/>
        <v/>
      </c>
      <c r="AV133" s="102" t="str">
        <f t="shared" si="117"/>
        <v/>
      </c>
      <c r="AW133" s="102" t="str">
        <f t="shared" si="118"/>
        <v/>
      </c>
      <c r="AX133" s="102" t="str">
        <f t="shared" si="119"/>
        <v/>
      </c>
      <c r="AY133" s="102" t="str">
        <f t="shared" si="120"/>
        <v/>
      </c>
      <c r="AZ133" s="102"/>
      <c r="BA133" s="102">
        <f>IF(AV133&lt;&gt;0,COUNTIFS($A$7:A133,A133,$AV$7:AV133,"Quên check in"))
+IF(AW133&lt;&gt;0,COUNTIFS($A$7:A133,A133,$AW$7:AW133,"Quên check in"))
+IF(AX133&lt;&gt;0,COUNTIFS($A$7:A133,A133,$AX$7:AX133,"Quên check out"))
+IF(AY133&lt;&gt;0,COUNTIFS($A$7:A133,A133,$AY$7:AY133,"Quên check out"))</f>
        <v>0</v>
      </c>
      <c r="BB133" s="143">
        <f t="shared" si="121"/>
        <v>0</v>
      </c>
    </row>
    <row r="134" spans="1:54" s="83" customFormat="1" ht="14.1" customHeight="1" x14ac:dyDescent="0.3">
      <c r="A134" s="103" t="s">
        <v>11</v>
      </c>
      <c r="B134" s="104" t="s">
        <v>20</v>
      </c>
      <c r="C134" s="105">
        <v>4700000</v>
      </c>
      <c r="D134" s="106">
        <v>43467</v>
      </c>
      <c r="E134" s="107">
        <v>43617</v>
      </c>
      <c r="F134" s="107">
        <v>73415</v>
      </c>
      <c r="G134" s="105">
        <v>26</v>
      </c>
      <c r="H134" s="105">
        <f t="shared" si="188"/>
        <v>4</v>
      </c>
      <c r="I134" s="105"/>
      <c r="J134" s="108">
        <v>43782</v>
      </c>
      <c r="K134" s="108" t="str">
        <f t="shared" si="189"/>
        <v>NV12243782VàoSáng</v>
      </c>
      <c r="L134" s="102" t="str">
        <f>IFERROR(VLOOKUP(K134,'1. Vân tay'!$F:$G,2,0),0)</f>
        <v>08:00:35</v>
      </c>
      <c r="M134" s="108" t="str">
        <f t="shared" si="190"/>
        <v>NV12243782RaSáng</v>
      </c>
      <c r="N134" s="102">
        <f>IFERROR(VLOOKUP(M134,'1. Vân tay'!$F:$G,2,0),0)</f>
        <v>0</v>
      </c>
      <c r="O134" s="108" t="str">
        <f t="shared" si="191"/>
        <v>NV12243782VàoChiều</v>
      </c>
      <c r="P134" s="102">
        <f>IFERROR(VLOOKUP(O134,'1. Vân tay'!$F:$G,2,0),0)</f>
        <v>0</v>
      </c>
      <c r="Q134" s="108" t="str">
        <f t="shared" si="192"/>
        <v>NV12243782RaChiều</v>
      </c>
      <c r="R134" s="102" t="str">
        <f>IFERROR(VLOOKUP(Q134,'1. Vân tay'!$F:$G,2,0),0)</f>
        <v>17:37:54</v>
      </c>
      <c r="S134" s="102">
        <f t="shared" si="193"/>
        <v>0</v>
      </c>
      <c r="T134" s="109">
        <v>0.33333333333333331</v>
      </c>
      <c r="U134" s="109">
        <v>0.5</v>
      </c>
      <c r="V134" s="109">
        <v>0.5625</v>
      </c>
      <c r="W134" s="109">
        <v>0.72916666666666663</v>
      </c>
      <c r="X134" s="102">
        <f>HDSD!$F$4</f>
        <v>5</v>
      </c>
      <c r="Y134" s="102">
        <f>SUMIFS('2. Đi muộn về sớm'!$K:$K,
'2. Đi muộn về sớm'!$B:$B,$A134,
'2. Đi muộn về sớm'!$D:$D,$J134)</f>
        <v>0</v>
      </c>
      <c r="Z134" s="110">
        <f t="shared" si="194"/>
        <v>0.58333333333333337</v>
      </c>
      <c r="AA134" s="110">
        <f t="shared" si="195"/>
        <v>0</v>
      </c>
      <c r="AB134" s="111">
        <f t="shared" si="196"/>
        <v>0.58333333333333337</v>
      </c>
      <c r="AC134" s="112">
        <f t="shared" si="108"/>
        <v>0</v>
      </c>
      <c r="AD134" s="113">
        <f t="shared" si="109"/>
        <v>0</v>
      </c>
      <c r="AE134" s="111">
        <f t="shared" si="197"/>
        <v>0</v>
      </c>
      <c r="AF134" s="113">
        <f t="shared" si="110"/>
        <v>0</v>
      </c>
      <c r="AG134" s="113">
        <f t="shared" si="111"/>
        <v>0</v>
      </c>
      <c r="AH134" s="114">
        <f t="shared" si="148"/>
        <v>9.6219444444444449</v>
      </c>
      <c r="AI134" s="102" t="str">
        <f t="shared" si="112"/>
        <v>X:8</v>
      </c>
      <c r="AJ134" s="102" t="str">
        <f t="shared" si="113"/>
        <v>NV12243782</v>
      </c>
      <c r="AK134" s="102" t="str">
        <f>IF(OR(J134&lt;D134,J134&gt;F134),"",
IFERROR(INDEX('3. Đơn xin nghỉ'!$K:$K,MATCH('4. Tổng hợp dữ liệu'!AJ134,'3. Đơn xin nghỉ'!$I:$I,0),1),
IF(AND(AU134="Không CC",I134&lt;&gt;1),"Ro:8","")))</f>
        <v/>
      </c>
      <c r="AL134" s="102" t="str">
        <f t="shared" si="114"/>
        <v/>
      </c>
      <c r="AM134" s="102" t="str">
        <f t="shared" si="198"/>
        <v>X:8</v>
      </c>
      <c r="AN134" s="102" t="s">
        <v>92</v>
      </c>
      <c r="AO134" s="102"/>
      <c r="AP134" s="115">
        <f>IFERROR(VLOOKUP(AN134,'Quy đổi công'!A:D,3,0),0)</f>
        <v>1</v>
      </c>
      <c r="AQ134" s="115">
        <f>IFERROR(VLOOKUP(AN134,'Quy đổi công'!A:D,4,0),0)</f>
        <v>0</v>
      </c>
      <c r="AR134" s="115">
        <f t="shared" si="115"/>
        <v>0</v>
      </c>
      <c r="AS134" s="115">
        <f t="shared" si="199"/>
        <v>1</v>
      </c>
      <c r="AT134" s="115">
        <f t="shared" si="200"/>
        <v>0</v>
      </c>
      <c r="AU134" s="102" t="str">
        <f t="shared" si="116"/>
        <v/>
      </c>
      <c r="AV134" s="102" t="str">
        <f t="shared" si="117"/>
        <v/>
      </c>
      <c r="AW134" s="102" t="str">
        <f t="shared" si="118"/>
        <v/>
      </c>
      <c r="AX134" s="102" t="str">
        <f t="shared" si="119"/>
        <v/>
      </c>
      <c r="AY134" s="102" t="str">
        <f t="shared" si="120"/>
        <v/>
      </c>
      <c r="AZ134" s="102"/>
      <c r="BA134" s="102">
        <f>IF(AV134&lt;&gt;0,COUNTIFS($A$7:A134,A134,$AV$7:AV134,"Quên check in"))
+IF(AW134&lt;&gt;0,COUNTIFS($A$7:A134,A134,$AW$7:AW134,"Quên check in"))
+IF(AX134&lt;&gt;0,COUNTIFS($A$7:A134,A134,$AX$7:AX134,"Quên check out"))
+IF(AY134&lt;&gt;0,COUNTIFS($A$7:A134,A134,$AY$7:AY134,"Quên check out"))</f>
        <v>1</v>
      </c>
      <c r="BB134" s="143">
        <f t="shared" si="121"/>
        <v>0</v>
      </c>
    </row>
    <row r="135" spans="1:54" s="83" customFormat="1" ht="14.1" customHeight="1" x14ac:dyDescent="0.3">
      <c r="A135" s="103" t="s">
        <v>12</v>
      </c>
      <c r="B135" s="104" t="s">
        <v>21</v>
      </c>
      <c r="C135" s="105">
        <v>5000000</v>
      </c>
      <c r="D135" s="106">
        <v>43482</v>
      </c>
      <c r="E135" s="107">
        <v>43647</v>
      </c>
      <c r="F135" s="107">
        <v>73415</v>
      </c>
      <c r="G135" s="105">
        <v>26</v>
      </c>
      <c r="H135" s="105">
        <f t="shared" si="188"/>
        <v>4</v>
      </c>
      <c r="I135" s="105"/>
      <c r="J135" s="108">
        <v>43782</v>
      </c>
      <c r="K135" s="108" t="str">
        <f t="shared" si="189"/>
        <v>NV12343782VàoSáng</v>
      </c>
      <c r="L135" s="102" t="str">
        <f>IFERROR(VLOOKUP(K135,'1. Vân tay'!$F:$G,2,0),0)</f>
        <v>07:51:14</v>
      </c>
      <c r="M135" s="108" t="str">
        <f t="shared" si="190"/>
        <v>NV12343782RaSáng</v>
      </c>
      <c r="N135" s="102">
        <f>IFERROR(VLOOKUP(M135,'1. Vân tay'!$F:$G,2,0),0)</f>
        <v>0</v>
      </c>
      <c r="O135" s="108" t="str">
        <f t="shared" si="191"/>
        <v>NV12343782VàoChiều</v>
      </c>
      <c r="P135" s="102">
        <f>IFERROR(VLOOKUP(O135,'1. Vân tay'!$F:$G,2,0),0)</f>
        <v>0</v>
      </c>
      <c r="Q135" s="108" t="str">
        <f t="shared" si="192"/>
        <v>NV12343782RaChiều</v>
      </c>
      <c r="R135" s="102" t="str">
        <f>IFERROR(VLOOKUP(Q135,'1. Vân tay'!$F:$G,2,0),0)</f>
        <v>17:33:14</v>
      </c>
      <c r="S135" s="102">
        <f t="shared" si="193"/>
        <v>0</v>
      </c>
      <c r="T135" s="109">
        <v>0.33333333333333331</v>
      </c>
      <c r="U135" s="109">
        <v>0.5</v>
      </c>
      <c r="V135" s="109">
        <v>0.5625</v>
      </c>
      <c r="W135" s="109">
        <v>0.72916666666666663</v>
      </c>
      <c r="X135" s="102">
        <f>HDSD!$F$4</f>
        <v>5</v>
      </c>
      <c r="Y135" s="102">
        <f>SUMIFS('2. Đi muộn về sớm'!$K:$K,
'2. Đi muộn về sớm'!$B:$B,$A135,
'2. Đi muộn về sớm'!$D:$D,$J135)</f>
        <v>0</v>
      </c>
      <c r="Z135" s="110">
        <f t="shared" si="194"/>
        <v>0</v>
      </c>
      <c r="AA135" s="110">
        <f t="shared" si="195"/>
        <v>0</v>
      </c>
      <c r="AB135" s="111">
        <f t="shared" si="196"/>
        <v>0</v>
      </c>
      <c r="AC135" s="112">
        <f t="shared" ref="AC135:AC198" si="201">IF(AB135-Y135-X135&lt;=0,0,AB135-Y135-X135)</f>
        <v>0</v>
      </c>
      <c r="AD135" s="113">
        <f t="shared" ref="AD135:AD198" si="202">AC135*2000</f>
        <v>0</v>
      </c>
      <c r="AE135" s="111">
        <f t="shared" si="197"/>
        <v>0</v>
      </c>
      <c r="AF135" s="113">
        <f t="shared" ref="AF135:AF198" si="203">IF(AE135="","",AE135*C135/G135)</f>
        <v>0</v>
      </c>
      <c r="AG135" s="113">
        <f t="shared" ref="AG135:AG198" si="204">AF135+AD135</f>
        <v>0</v>
      </c>
      <c r="AH135" s="114">
        <f t="shared" si="148"/>
        <v>9.6999999999999993</v>
      </c>
      <c r="AI135" s="102" t="str">
        <f t="shared" ref="AI135:AI198" si="205">IF(OR(J135&lt;D135,J135&gt;F135),"",
IF(AND(AH135&gt;0,AH135&lt;=6),"X:4",
IF(AND(AH135&gt;6),"X:8","")))</f>
        <v>X:8</v>
      </c>
      <c r="AJ135" s="102" t="str">
        <f t="shared" ref="AJ135:AJ198" si="206">A135&amp;J135</f>
        <v>NV12343782</v>
      </c>
      <c r="AK135" s="102" t="str">
        <f>IF(OR(J135&lt;D135,J135&gt;F135),"",
IFERROR(INDEX('3. Đơn xin nghỉ'!$K:$K,MATCH('4. Tổng hợp dữ liệu'!AJ135,'3. Đơn xin nghỉ'!$I:$I,0),1),
IF(AND(AU135="Không CC",I135&lt;&gt;1),"Ro:8","")))</f>
        <v/>
      </c>
      <c r="AL135" s="102" t="str">
        <f t="shared" ref="AL135:AL198" si="207">IF(OR(J135&lt;D135,J135&gt;F135),"",
IF(I135=1,"OFF",""))</f>
        <v/>
      </c>
      <c r="AM135" s="102" t="str">
        <f t="shared" si="198"/>
        <v>X:8</v>
      </c>
      <c r="AN135" s="102" t="s">
        <v>92</v>
      </c>
      <c r="AO135" s="102"/>
      <c r="AP135" s="115">
        <f>IFERROR(VLOOKUP(AN135,'Quy đổi công'!A:D,3,0),0)</f>
        <v>1</v>
      </c>
      <c r="AQ135" s="115">
        <f>IFERROR(VLOOKUP(AN135,'Quy đổi công'!A:D,4,0),0)</f>
        <v>0</v>
      </c>
      <c r="AR135" s="115">
        <f t="shared" ref="AR135:AR198" si="208">IF(J135&lt;E135,AP135,0)</f>
        <v>0</v>
      </c>
      <c r="AS135" s="115">
        <f t="shared" si="199"/>
        <v>1</v>
      </c>
      <c r="AT135" s="115">
        <f t="shared" si="200"/>
        <v>0</v>
      </c>
      <c r="AU135" s="102" t="str">
        <f t="shared" si="116"/>
        <v/>
      </c>
      <c r="AV135" s="102" t="str">
        <f t="shared" si="117"/>
        <v/>
      </c>
      <c r="AW135" s="102" t="str">
        <f t="shared" si="118"/>
        <v/>
      </c>
      <c r="AX135" s="102" t="str">
        <f t="shared" si="119"/>
        <v/>
      </c>
      <c r="AY135" s="102" t="str">
        <f t="shared" si="120"/>
        <v/>
      </c>
      <c r="AZ135" s="102"/>
      <c r="BA135" s="102">
        <f>IF(AV135&lt;&gt;0,COUNTIFS($A$7:A135,A135,$AV$7:AV135,"Quên check in"))
+IF(AW135&lt;&gt;0,COUNTIFS($A$7:A135,A135,$AW$7:AW135,"Quên check in"))
+IF(AX135&lt;&gt;0,COUNTIFS($A$7:A135,A135,$AX$7:AX135,"Quên check out"))
+IF(AY135&lt;&gt;0,COUNTIFS($A$7:A135,A135,$AY$7:AY135,"Quên check out"))</f>
        <v>0</v>
      </c>
      <c r="BB135" s="143">
        <f t="shared" si="121"/>
        <v>0</v>
      </c>
    </row>
    <row r="136" spans="1:54" s="83" customFormat="1" ht="14.1" customHeight="1" x14ac:dyDescent="0.3">
      <c r="A136" s="103" t="s">
        <v>13</v>
      </c>
      <c r="B136" s="104" t="s">
        <v>22</v>
      </c>
      <c r="C136" s="105">
        <v>4700000</v>
      </c>
      <c r="D136" s="106">
        <v>43531</v>
      </c>
      <c r="E136" s="107">
        <v>43647</v>
      </c>
      <c r="F136" s="107">
        <v>73415</v>
      </c>
      <c r="G136" s="105">
        <v>26</v>
      </c>
      <c r="H136" s="105">
        <f t="shared" si="188"/>
        <v>4</v>
      </c>
      <c r="I136" s="105"/>
      <c r="J136" s="108">
        <v>43782</v>
      </c>
      <c r="K136" s="108" t="str">
        <f t="shared" si="189"/>
        <v>NV12643782VàoSáng</v>
      </c>
      <c r="L136" s="102" t="str">
        <f>IFERROR(VLOOKUP(K136,'1. Vân tay'!$F:$G,2,0),0)</f>
        <v>08:03:38</v>
      </c>
      <c r="M136" s="108" t="str">
        <f t="shared" si="190"/>
        <v>NV12643782RaSáng</v>
      </c>
      <c r="N136" s="102">
        <f>IFERROR(VLOOKUP(M136,'1. Vân tay'!$F:$G,2,0),0)</f>
        <v>0</v>
      </c>
      <c r="O136" s="108" t="str">
        <f t="shared" si="191"/>
        <v>NV12643782VàoChiều</v>
      </c>
      <c r="P136" s="102">
        <f>IFERROR(VLOOKUP(O136,'1. Vân tay'!$F:$G,2,0),0)</f>
        <v>0</v>
      </c>
      <c r="Q136" s="108" t="str">
        <f t="shared" si="192"/>
        <v>NV12643782RaChiều</v>
      </c>
      <c r="R136" s="102" t="str">
        <f>IFERROR(VLOOKUP(Q136,'1. Vân tay'!$F:$G,2,0),0)</f>
        <v>16:37:45</v>
      </c>
      <c r="S136" s="102">
        <f t="shared" si="193"/>
        <v>0</v>
      </c>
      <c r="T136" s="109">
        <v>0.33333333333333331</v>
      </c>
      <c r="U136" s="109">
        <v>0.5</v>
      </c>
      <c r="V136" s="109">
        <v>0.5625</v>
      </c>
      <c r="W136" s="109">
        <v>0.72916666666666663</v>
      </c>
      <c r="X136" s="102">
        <f>HDSD!$F$4</f>
        <v>5</v>
      </c>
      <c r="Y136" s="102">
        <f>SUMIFS('2. Đi muộn về sớm'!$K:$K,
'2. Đi muộn về sớm'!$B:$B,$A136,
'2. Đi muộn về sớm'!$D:$D,$J136)</f>
        <v>60</v>
      </c>
      <c r="Z136" s="110">
        <f t="shared" si="194"/>
        <v>55.883333333333333</v>
      </c>
      <c r="AA136" s="110">
        <f t="shared" si="195"/>
        <v>0</v>
      </c>
      <c r="AB136" s="111">
        <f t="shared" si="196"/>
        <v>55.883333333333333</v>
      </c>
      <c r="AC136" s="112">
        <f t="shared" si="201"/>
        <v>0</v>
      </c>
      <c r="AD136" s="113">
        <f t="shared" si="202"/>
        <v>0</v>
      </c>
      <c r="AE136" s="111">
        <f t="shared" si="197"/>
        <v>0</v>
      </c>
      <c r="AF136" s="113">
        <f t="shared" si="203"/>
        <v>0</v>
      </c>
      <c r="AG136" s="113">
        <f t="shared" si="204"/>
        <v>0</v>
      </c>
      <c r="AH136" s="114">
        <f t="shared" si="148"/>
        <v>8.5686111111111103</v>
      </c>
      <c r="AI136" s="102" t="str">
        <f t="shared" si="205"/>
        <v>X:8</v>
      </c>
      <c r="AJ136" s="102" t="str">
        <f t="shared" si="206"/>
        <v>NV12643782</v>
      </c>
      <c r="AK136" s="102" t="str">
        <f>IF(OR(J136&lt;D136,J136&gt;F136),"",
IFERROR(INDEX('3. Đơn xin nghỉ'!$K:$K,MATCH('4. Tổng hợp dữ liệu'!AJ136,'3. Đơn xin nghỉ'!$I:$I,0),1),
IF(AND(AU136="Không CC",I136&lt;&gt;1),"Ro:8","")))</f>
        <v/>
      </c>
      <c r="AL136" s="102" t="str">
        <f t="shared" si="207"/>
        <v/>
      </c>
      <c r="AM136" s="102" t="str">
        <f t="shared" si="198"/>
        <v>X:8</v>
      </c>
      <c r="AN136" s="102" t="s">
        <v>92</v>
      </c>
      <c r="AO136" s="102"/>
      <c r="AP136" s="115">
        <f>IFERROR(VLOOKUP(AN136,'Quy đổi công'!A:D,3,0),0)</f>
        <v>1</v>
      </c>
      <c r="AQ136" s="115">
        <f>IFERROR(VLOOKUP(AN136,'Quy đổi công'!A:D,4,0),0)</f>
        <v>0</v>
      </c>
      <c r="AR136" s="115">
        <f t="shared" si="208"/>
        <v>0</v>
      </c>
      <c r="AS136" s="115">
        <f t="shared" si="199"/>
        <v>1</v>
      </c>
      <c r="AT136" s="115">
        <f t="shared" si="200"/>
        <v>0</v>
      </c>
      <c r="AU136" s="102" t="str">
        <f t="shared" ref="AU136:AU199" si="209">IF(AND(L136=0,N136=0,P136=0,R136=0),"Không CC","")</f>
        <v/>
      </c>
      <c r="AV136" s="102" t="str">
        <f t="shared" ref="AV136:AV199" si="210">IF(AND(L136=0,N136&lt;&gt;0,P136=0,R136=0),"Quên check in","")</f>
        <v/>
      </c>
      <c r="AW136" s="102" t="str">
        <f t="shared" ref="AW136:AW199" si="211">IF(AND(L136=0,N136=0,P136=0,R136&lt;&gt;0),"Quên check in","")</f>
        <v/>
      </c>
      <c r="AX136" s="102" t="str">
        <f t="shared" ref="AX136:AX199" si="212">IF(AND(L136&lt;&gt;0,N136=0,P136=0,R136=0),"Quên check out","")</f>
        <v/>
      </c>
      <c r="AY136" s="102" t="str">
        <f t="shared" ref="AY136:AY199" si="213">IF(AND(L136=0,N136=0,P136&lt;&gt;0,R136=0),"Quên check out","")</f>
        <v/>
      </c>
      <c r="AZ136" s="102"/>
      <c r="BA136" s="102">
        <f>IF(AV136&lt;&gt;0,COUNTIFS($A$7:A136,A136,$AV$7:AV136,"Quên check in"))
+IF(AW136&lt;&gt;0,COUNTIFS($A$7:A136,A136,$AW$7:AW136,"Quên check in"))
+IF(AX136&lt;&gt;0,COUNTIFS($A$7:A136,A136,$AX$7:AX136,"Quên check out"))
+IF(AY136&lt;&gt;0,COUNTIFS($A$7:A136,A136,$AY$7:AY136,"Quên check out"))</f>
        <v>0</v>
      </c>
      <c r="BB136" s="143">
        <f t="shared" ref="BB136:BB199" si="214">IF(BA136&gt;=3,50000,0)</f>
        <v>0</v>
      </c>
    </row>
    <row r="137" spans="1:54" s="83" customFormat="1" ht="14.1" customHeight="1" x14ac:dyDescent="0.3">
      <c r="A137" s="103" t="s">
        <v>4</v>
      </c>
      <c r="B137" s="104" t="s">
        <v>14</v>
      </c>
      <c r="C137" s="105">
        <v>4700000</v>
      </c>
      <c r="D137" s="106">
        <v>43388</v>
      </c>
      <c r="E137" s="107">
        <v>43525</v>
      </c>
      <c r="F137" s="107">
        <v>73415</v>
      </c>
      <c r="G137" s="105">
        <v>26</v>
      </c>
      <c r="H137" s="105">
        <f t="shared" ref="H137:H146" si="215">WEEKDAY(J137,1)</f>
        <v>5</v>
      </c>
      <c r="I137" s="105"/>
      <c r="J137" s="108">
        <v>43783</v>
      </c>
      <c r="K137" s="108" t="str">
        <f t="shared" ref="K137:K146" si="216">$A137&amp;$J137&amp;"Vào"&amp;"Sáng"</f>
        <v>NV10143783VàoSáng</v>
      </c>
      <c r="L137" s="102" t="str">
        <f>IFERROR(VLOOKUP(K137,'1. Vân tay'!$F:$G,2,0),0)</f>
        <v>08:03:40</v>
      </c>
      <c r="M137" s="108" t="str">
        <f t="shared" ref="M137:M146" si="217">$A137&amp;$J137&amp;"Ra"&amp;"Sáng"</f>
        <v>NV10143783RaSáng</v>
      </c>
      <c r="N137" s="102">
        <f>IFERROR(VLOOKUP(M137,'1. Vân tay'!$F:$G,2,0),0)</f>
        <v>0</v>
      </c>
      <c r="O137" s="108" t="str">
        <f t="shared" ref="O137:O146" si="218">$A137&amp;$J137&amp;"Vào"&amp;"Chiều"</f>
        <v>NV10143783VàoChiều</v>
      </c>
      <c r="P137" s="102">
        <f>IFERROR(VLOOKUP(O137,'1. Vân tay'!$F:$G,2,0),0)</f>
        <v>0</v>
      </c>
      <c r="Q137" s="108" t="str">
        <f t="shared" ref="Q137:Q146" si="219">$A137&amp;$J137&amp;"Ra"&amp;"Chiều"</f>
        <v>NV10143783RaChiều</v>
      </c>
      <c r="R137" s="102" t="str">
        <f>IFERROR(VLOOKUP(Q137,'1. Vân tay'!$F:$G,2,0),0)</f>
        <v>17:31:11</v>
      </c>
      <c r="S137" s="102">
        <f t="shared" ref="S137:S146" si="220">IF(OR(
(AND(L137&lt;&gt;0,P137&lt;&gt;0)),
(AND(N137&lt;&gt;0,R137&lt;&gt;0))),"Kiểm tra",0)</f>
        <v>0</v>
      </c>
      <c r="T137" s="109">
        <v>0.33333333333333331</v>
      </c>
      <c r="U137" s="109">
        <v>0.5</v>
      </c>
      <c r="V137" s="109">
        <v>0.5625</v>
      </c>
      <c r="W137" s="109">
        <v>0.72916666666666663</v>
      </c>
      <c r="X137" s="102">
        <f>HDSD!$F$4</f>
        <v>5</v>
      </c>
      <c r="Y137" s="102">
        <f>SUMIFS('2. Đi muộn về sớm'!$K:$K,
'2. Đi muộn về sớm'!$B:$B,$A137,
'2. Đi muộn về sớm'!$D:$D,$J137)</f>
        <v>0</v>
      </c>
      <c r="Z137" s="110">
        <f t="shared" ref="Z137:Z146" si="221">IF(L137=0,0,IFERROR((HOUR(L137-T137)*60+MINUTE(L137-T137)+SECOND(L137-T137)/60),0))
+IF(N137=0,0, IFERROR((HOUR(U137-N137)*60+MINUTE(U137-N137)+SECOND(U137-N137)/60),0))
+IF(P137=0,0, IFERROR((HOUR(P137-V137)*60+MINUTE(P137-V137)+SECOND(P137-V137)/60),0))
+IF(R137=0,0, IFERROR((HOUR(W137-R137)*60+MINUTE(W137-R137)+SECOND(W137-R137)/60),0))</f>
        <v>3.6666666666666665</v>
      </c>
      <c r="AA137" s="110">
        <f t="shared" ref="AA137:AA146" si="222">IF(L137=0,0,IFERROR((HOUR(L137-"09:00:00")*60+MINUTE(L137-"09:00:00")+SECOND(L137-"09:00:00")/60),0))
+IF(N137=0,0, IFERROR((HOUR(U137-N137)*60+MINUTE(U137-N137)+SECOND(U137-N137)/60),0))
+IF(P137=0,0, IFERROR((HOUR(P137-V137)*60+MINUTE(P137-V137)+SECOND(P137-V137)/60),0))
+IF(R137=0,0, IFERROR((HOUR("16:30:00"-R137)*60+MINUTE("16:30:00"-R137)+SECOND("16:30:00"-R137)/60),0))</f>
        <v>0</v>
      </c>
      <c r="AB137" s="111">
        <f t="shared" ref="AB137:AB146" si="223">Z137-AA137</f>
        <v>3.6666666666666665</v>
      </c>
      <c r="AC137" s="112">
        <f t="shared" si="201"/>
        <v>0</v>
      </c>
      <c r="AD137" s="113">
        <f t="shared" si="202"/>
        <v>0</v>
      </c>
      <c r="AE137" s="111">
        <f t="shared" ref="AE137:AE146" si="224">AA137/60/8</f>
        <v>0</v>
      </c>
      <c r="AF137" s="113">
        <f t="shared" si="203"/>
        <v>0</v>
      </c>
      <c r="AG137" s="113">
        <f t="shared" si="204"/>
        <v>0</v>
      </c>
      <c r="AH137" s="114">
        <f t="shared" si="148"/>
        <v>9.4586111111111109</v>
      </c>
      <c r="AI137" s="102" t="str">
        <f t="shared" si="205"/>
        <v>X:8</v>
      </c>
      <c r="AJ137" s="102" t="str">
        <f t="shared" si="206"/>
        <v>NV10143783</v>
      </c>
      <c r="AK137" s="102" t="str">
        <f>IF(OR(J137&lt;D137,J137&gt;F137),"",
IFERROR(INDEX('3. Đơn xin nghỉ'!$K:$K,MATCH('4. Tổng hợp dữ liệu'!AJ137,'3. Đơn xin nghỉ'!$I:$I,0),1),
IF(AND(AU137="Không CC",I137&lt;&gt;1),"Ro:8","")))</f>
        <v/>
      </c>
      <c r="AL137" s="102" t="str">
        <f t="shared" si="207"/>
        <v/>
      </c>
      <c r="AM137" s="102" t="str">
        <f t="shared" ref="AM137:AM146" si="225">IF(OR(AI137="",AK137=""),AI137&amp;AK137,AI137&amp;","&amp;AK137)&amp;AL137</f>
        <v>X:8</v>
      </c>
      <c r="AN137" s="102" t="s">
        <v>92</v>
      </c>
      <c r="AO137" s="102"/>
      <c r="AP137" s="115">
        <f>IFERROR(VLOOKUP(AN137,'Quy đổi công'!A:D,3,0),0)</f>
        <v>1</v>
      </c>
      <c r="AQ137" s="115">
        <f>IFERROR(VLOOKUP(AN137,'Quy đổi công'!A:D,4,0),0)</f>
        <v>0</v>
      </c>
      <c r="AR137" s="115">
        <f t="shared" si="208"/>
        <v>0</v>
      </c>
      <c r="AS137" s="115">
        <f t="shared" ref="AS137:AS146" si="226">AP137-AR137</f>
        <v>1</v>
      </c>
      <c r="AT137" s="115">
        <f t="shared" ref="AT137:AT146" si="227">IF(AN137="P8",1)
+IF(OR(AN137="X:4,P:4",AN137="P:4,Rv:4",AN137="P:4,Ro:4"),1/2)</f>
        <v>0</v>
      </c>
      <c r="AU137" s="102" t="str">
        <f t="shared" si="209"/>
        <v/>
      </c>
      <c r="AV137" s="102" t="str">
        <f t="shared" si="210"/>
        <v/>
      </c>
      <c r="AW137" s="102" t="str">
        <f t="shared" si="211"/>
        <v/>
      </c>
      <c r="AX137" s="102" t="str">
        <f t="shared" si="212"/>
        <v/>
      </c>
      <c r="AY137" s="102" t="str">
        <f t="shared" si="213"/>
        <v/>
      </c>
      <c r="AZ137" s="102"/>
      <c r="BA137" s="102">
        <f>IF(AV137&lt;&gt;0,COUNTIFS($A$7:A137,A137,$AV$7:AV137,"Quên check in"))
+IF(AW137&lt;&gt;0,COUNTIFS($A$7:A137,A137,$AW$7:AW137,"Quên check in"))
+IF(AX137&lt;&gt;0,COUNTIFS($A$7:A137,A137,$AX$7:AX137,"Quên check out"))
+IF(AY137&lt;&gt;0,COUNTIFS($A$7:A137,A137,$AY$7:AY137,"Quên check out"))</f>
        <v>0</v>
      </c>
      <c r="BB137" s="143">
        <f t="shared" si="214"/>
        <v>0</v>
      </c>
    </row>
    <row r="138" spans="1:54" s="83" customFormat="1" ht="14.1" customHeight="1" x14ac:dyDescent="0.3">
      <c r="A138" s="103" t="s">
        <v>5</v>
      </c>
      <c r="B138" s="104" t="s">
        <v>28</v>
      </c>
      <c r="C138" s="105">
        <v>10000000</v>
      </c>
      <c r="D138" s="106">
        <v>43409</v>
      </c>
      <c r="E138" s="107">
        <v>43678</v>
      </c>
      <c r="F138" s="107">
        <v>73415</v>
      </c>
      <c r="G138" s="105">
        <v>26</v>
      </c>
      <c r="H138" s="105">
        <f t="shared" si="215"/>
        <v>5</v>
      </c>
      <c r="I138" s="105"/>
      <c r="J138" s="108">
        <v>43783</v>
      </c>
      <c r="K138" s="108" t="str">
        <f t="shared" si="216"/>
        <v>NV10743783VàoSáng</v>
      </c>
      <c r="L138" s="102" t="str">
        <f>IFERROR(VLOOKUP(K138,'1. Vân tay'!$F:$G,2,0),0)</f>
        <v>07:50:12</v>
      </c>
      <c r="M138" s="108" t="str">
        <f t="shared" si="217"/>
        <v>NV10743783RaSáng</v>
      </c>
      <c r="N138" s="102">
        <f>IFERROR(VLOOKUP(M138,'1. Vân tay'!$F:$G,2,0),0)</f>
        <v>0</v>
      </c>
      <c r="O138" s="108" t="str">
        <f t="shared" si="218"/>
        <v>NV10743783VàoChiều</v>
      </c>
      <c r="P138" s="102">
        <f>IFERROR(VLOOKUP(O138,'1. Vân tay'!$F:$G,2,0),0)</f>
        <v>0</v>
      </c>
      <c r="Q138" s="108" t="str">
        <f t="shared" si="219"/>
        <v>NV10743783RaChiều</v>
      </c>
      <c r="R138" s="102">
        <f>IFERROR(VLOOKUP(Q138,'1. Vân tay'!$F:$G,2,0),0)</f>
        <v>0</v>
      </c>
      <c r="S138" s="102">
        <f t="shared" si="220"/>
        <v>0</v>
      </c>
      <c r="T138" s="109">
        <v>0.33333333333333331</v>
      </c>
      <c r="U138" s="109">
        <v>0.5</v>
      </c>
      <c r="V138" s="109">
        <v>0.5625</v>
      </c>
      <c r="W138" s="109">
        <v>0.72916666666666663</v>
      </c>
      <c r="X138" s="102">
        <f>HDSD!$F$4</f>
        <v>5</v>
      </c>
      <c r="Y138" s="102">
        <f>SUMIFS('2. Đi muộn về sớm'!$K:$K,
'2. Đi muộn về sớm'!$B:$B,$A138,
'2. Đi muộn về sớm'!$D:$D,$J138)</f>
        <v>60</v>
      </c>
      <c r="Z138" s="110">
        <f t="shared" si="221"/>
        <v>0</v>
      </c>
      <c r="AA138" s="110">
        <f t="shared" si="222"/>
        <v>0</v>
      </c>
      <c r="AB138" s="111">
        <f t="shared" si="223"/>
        <v>0</v>
      </c>
      <c r="AC138" s="112">
        <f t="shared" si="201"/>
        <v>0</v>
      </c>
      <c r="AD138" s="113">
        <f t="shared" si="202"/>
        <v>0</v>
      </c>
      <c r="AE138" s="111">
        <f t="shared" si="224"/>
        <v>0</v>
      </c>
      <c r="AF138" s="113">
        <f t="shared" si="203"/>
        <v>0</v>
      </c>
      <c r="AG138" s="113">
        <f t="shared" si="204"/>
        <v>0</v>
      </c>
      <c r="AH138" s="114">
        <f t="shared" si="148"/>
        <v>4.163333333333334</v>
      </c>
      <c r="AI138" s="102" t="str">
        <f t="shared" si="205"/>
        <v>X:4</v>
      </c>
      <c r="AJ138" s="102" t="str">
        <f t="shared" si="206"/>
        <v>NV10743783</v>
      </c>
      <c r="AK138" s="102" t="str">
        <f>IF(OR(J138&lt;D138,J138&gt;F138),"",
IFERROR(INDEX('3. Đơn xin nghỉ'!$K:$K,MATCH('4. Tổng hợp dữ liệu'!AJ138,'3. Đơn xin nghỉ'!$I:$I,0),1),
IF(AND(AU138="Không CC",I138&lt;&gt;1),"Ro:8","")))</f>
        <v/>
      </c>
      <c r="AL138" s="102" t="str">
        <f t="shared" si="207"/>
        <v/>
      </c>
      <c r="AM138" s="102" t="str">
        <f t="shared" si="225"/>
        <v>X:4</v>
      </c>
      <c r="AN138" s="102" t="s">
        <v>92</v>
      </c>
      <c r="AO138" s="102" t="s">
        <v>281</v>
      </c>
      <c r="AP138" s="115">
        <f>IFERROR(VLOOKUP(AN138,'Quy đổi công'!A:D,3,0),0)</f>
        <v>1</v>
      </c>
      <c r="AQ138" s="115">
        <f>IFERROR(VLOOKUP(AN138,'Quy đổi công'!A:D,4,0),0)</f>
        <v>0</v>
      </c>
      <c r="AR138" s="115">
        <f t="shared" si="208"/>
        <v>0</v>
      </c>
      <c r="AS138" s="115">
        <f t="shared" si="226"/>
        <v>1</v>
      </c>
      <c r="AT138" s="115">
        <f t="shared" si="227"/>
        <v>0</v>
      </c>
      <c r="AU138" s="102" t="str">
        <f t="shared" si="209"/>
        <v/>
      </c>
      <c r="AV138" s="102" t="str">
        <f t="shared" si="210"/>
        <v/>
      </c>
      <c r="AW138" s="102" t="str">
        <f t="shared" si="211"/>
        <v/>
      </c>
      <c r="AX138" s="102" t="str">
        <f t="shared" si="212"/>
        <v>Quên check out</v>
      </c>
      <c r="AY138" s="102" t="str">
        <f t="shared" si="213"/>
        <v/>
      </c>
      <c r="AZ138" s="102" t="s">
        <v>230</v>
      </c>
      <c r="BA138" s="102">
        <f>IF(AV138&lt;&gt;0,COUNTIFS($A$7:A138,A138,$AV$7:AV138,"Quên check in"))
+IF(AW138&lt;&gt;0,COUNTIFS($A$7:A138,A138,$AW$7:AW138,"Quên check in"))
+IF(AX138&lt;&gt;0,COUNTIFS($A$7:A138,A138,$AX$7:AX138,"Quên check out"))
+IF(AY138&lt;&gt;0,COUNTIFS($A$7:A138,A138,$AY$7:AY138,"Quên check out"))</f>
        <v>2</v>
      </c>
      <c r="BB138" s="143">
        <f t="shared" si="214"/>
        <v>0</v>
      </c>
    </row>
    <row r="139" spans="1:54" s="83" customFormat="1" ht="14.1" customHeight="1" x14ac:dyDescent="0.3">
      <c r="A139" s="103" t="s">
        <v>6</v>
      </c>
      <c r="B139" s="104" t="s">
        <v>15</v>
      </c>
      <c r="C139" s="105">
        <v>4700000</v>
      </c>
      <c r="D139" s="106">
        <v>43409</v>
      </c>
      <c r="E139" s="107">
        <v>43617</v>
      </c>
      <c r="F139" s="107">
        <v>73415</v>
      </c>
      <c r="G139" s="105">
        <v>26</v>
      </c>
      <c r="H139" s="105">
        <f t="shared" si="215"/>
        <v>5</v>
      </c>
      <c r="I139" s="105"/>
      <c r="J139" s="108">
        <v>43783</v>
      </c>
      <c r="K139" s="108" t="str">
        <f t="shared" si="216"/>
        <v>NV10843783VàoSáng</v>
      </c>
      <c r="L139" s="102" t="str">
        <f>IFERROR(VLOOKUP(K139,'1. Vân tay'!$F:$G,2,0),0)</f>
        <v>08:01:13</v>
      </c>
      <c r="M139" s="108" t="str">
        <f t="shared" si="217"/>
        <v>NV10843783RaSáng</v>
      </c>
      <c r="N139" s="102">
        <f>IFERROR(VLOOKUP(M139,'1. Vân tay'!$F:$G,2,0),0)</f>
        <v>0</v>
      </c>
      <c r="O139" s="108" t="str">
        <f t="shared" si="218"/>
        <v>NV10843783VàoChiều</v>
      </c>
      <c r="P139" s="102">
        <f>IFERROR(VLOOKUP(O139,'1. Vân tay'!$F:$G,2,0),0)</f>
        <v>0</v>
      </c>
      <c r="Q139" s="108" t="str">
        <f t="shared" si="219"/>
        <v>NV10843783RaChiều</v>
      </c>
      <c r="R139" s="102" t="str">
        <f>IFERROR(VLOOKUP(Q139,'1. Vân tay'!$F:$G,2,0),0)</f>
        <v>17:36:37</v>
      </c>
      <c r="S139" s="102">
        <f t="shared" si="220"/>
        <v>0</v>
      </c>
      <c r="T139" s="109">
        <v>0.33333333333333331</v>
      </c>
      <c r="U139" s="109">
        <v>0.5</v>
      </c>
      <c r="V139" s="109">
        <v>0.5625</v>
      </c>
      <c r="W139" s="109">
        <v>0.72916666666666663</v>
      </c>
      <c r="X139" s="102">
        <f>HDSD!$F$4</f>
        <v>5</v>
      </c>
      <c r="Y139" s="102">
        <f>SUMIFS('2. Đi muộn về sớm'!$K:$K,
'2. Đi muộn về sớm'!$B:$B,$A139,
'2. Đi muộn về sớm'!$D:$D,$J139)</f>
        <v>0</v>
      </c>
      <c r="Z139" s="110">
        <f t="shared" si="221"/>
        <v>1.2166666666666668</v>
      </c>
      <c r="AA139" s="110">
        <f t="shared" si="222"/>
        <v>0</v>
      </c>
      <c r="AB139" s="111">
        <f t="shared" si="223"/>
        <v>1.2166666666666668</v>
      </c>
      <c r="AC139" s="112">
        <f t="shared" si="201"/>
        <v>0</v>
      </c>
      <c r="AD139" s="113">
        <f t="shared" si="202"/>
        <v>0</v>
      </c>
      <c r="AE139" s="111">
        <f t="shared" si="224"/>
        <v>0</v>
      </c>
      <c r="AF139" s="113">
        <f t="shared" si="203"/>
        <v>0</v>
      </c>
      <c r="AG139" s="113">
        <f t="shared" si="204"/>
        <v>0</v>
      </c>
      <c r="AH139" s="114">
        <f t="shared" si="148"/>
        <v>9.59</v>
      </c>
      <c r="AI139" s="102" t="str">
        <f t="shared" si="205"/>
        <v>X:8</v>
      </c>
      <c r="AJ139" s="102" t="str">
        <f t="shared" si="206"/>
        <v>NV10843783</v>
      </c>
      <c r="AK139" s="102" t="str">
        <f>IF(OR(J139&lt;D139,J139&gt;F139),"",
IFERROR(INDEX('3. Đơn xin nghỉ'!$K:$K,MATCH('4. Tổng hợp dữ liệu'!AJ139,'3. Đơn xin nghỉ'!$I:$I,0),1),
IF(AND(AU139="Không CC",I139&lt;&gt;1),"Ro:8","")))</f>
        <v/>
      </c>
      <c r="AL139" s="102" t="str">
        <f t="shared" si="207"/>
        <v/>
      </c>
      <c r="AM139" s="102" t="str">
        <f t="shared" si="225"/>
        <v>X:8</v>
      </c>
      <c r="AN139" s="102" t="s">
        <v>92</v>
      </c>
      <c r="AO139" s="102"/>
      <c r="AP139" s="115">
        <f>IFERROR(VLOOKUP(AN139,'Quy đổi công'!A:D,3,0),0)</f>
        <v>1</v>
      </c>
      <c r="AQ139" s="115">
        <f>IFERROR(VLOOKUP(AN139,'Quy đổi công'!A:D,4,0),0)</f>
        <v>0</v>
      </c>
      <c r="AR139" s="115">
        <f t="shared" si="208"/>
        <v>0</v>
      </c>
      <c r="AS139" s="115">
        <f t="shared" si="226"/>
        <v>1</v>
      </c>
      <c r="AT139" s="115">
        <f t="shared" si="227"/>
        <v>0</v>
      </c>
      <c r="AU139" s="102" t="str">
        <f t="shared" si="209"/>
        <v/>
      </c>
      <c r="AV139" s="102" t="str">
        <f t="shared" si="210"/>
        <v/>
      </c>
      <c r="AW139" s="102" t="str">
        <f t="shared" si="211"/>
        <v/>
      </c>
      <c r="AX139" s="102" t="str">
        <f t="shared" si="212"/>
        <v/>
      </c>
      <c r="AY139" s="102" t="str">
        <f t="shared" si="213"/>
        <v/>
      </c>
      <c r="AZ139" s="102"/>
      <c r="BA139" s="102">
        <f>IF(AV139&lt;&gt;0,COUNTIFS($A$7:A139,A139,$AV$7:AV139,"Quên check in"))
+IF(AW139&lt;&gt;0,COUNTIFS($A$7:A139,A139,$AW$7:AW139,"Quên check in"))
+IF(AX139&lt;&gt;0,COUNTIFS($A$7:A139,A139,$AX$7:AX139,"Quên check out"))
+IF(AY139&lt;&gt;0,COUNTIFS($A$7:A139,A139,$AY$7:AY139,"Quên check out"))</f>
        <v>0</v>
      </c>
      <c r="BB139" s="143">
        <f t="shared" si="214"/>
        <v>0</v>
      </c>
    </row>
    <row r="140" spans="1:54" s="83" customFormat="1" ht="14.1" customHeight="1" x14ac:dyDescent="0.3">
      <c r="A140" s="103" t="s">
        <v>7</v>
      </c>
      <c r="B140" s="104" t="s">
        <v>16</v>
      </c>
      <c r="C140" s="105">
        <v>5000000</v>
      </c>
      <c r="D140" s="106">
        <v>43416</v>
      </c>
      <c r="E140" s="107">
        <v>43617</v>
      </c>
      <c r="F140" s="107">
        <v>73415</v>
      </c>
      <c r="G140" s="105">
        <v>26</v>
      </c>
      <c r="H140" s="105">
        <f t="shared" si="215"/>
        <v>5</v>
      </c>
      <c r="I140" s="105"/>
      <c r="J140" s="108">
        <v>43783</v>
      </c>
      <c r="K140" s="108" t="str">
        <f t="shared" si="216"/>
        <v>NV10943783VàoSáng</v>
      </c>
      <c r="L140" s="102" t="str">
        <f>IFERROR(VLOOKUP(K140,'1. Vân tay'!$F:$G,2,0),0)</f>
        <v>07:49:04</v>
      </c>
      <c r="M140" s="108" t="str">
        <f t="shared" si="217"/>
        <v>NV10943783RaSáng</v>
      </c>
      <c r="N140" s="102">
        <f>IFERROR(VLOOKUP(M140,'1. Vân tay'!$F:$G,2,0),0)</f>
        <v>0</v>
      </c>
      <c r="O140" s="108" t="str">
        <f t="shared" si="218"/>
        <v>NV10943783VàoChiều</v>
      </c>
      <c r="P140" s="102">
        <f>IFERROR(VLOOKUP(O140,'1. Vân tay'!$F:$G,2,0),0)</f>
        <v>0</v>
      </c>
      <c r="Q140" s="108" t="str">
        <f t="shared" si="219"/>
        <v>NV10943783RaChiều</v>
      </c>
      <c r="R140" s="102" t="str">
        <f>IFERROR(VLOOKUP(Q140,'1. Vân tay'!$F:$G,2,0),0)</f>
        <v>17:32:43</v>
      </c>
      <c r="S140" s="102">
        <f t="shared" si="220"/>
        <v>0</v>
      </c>
      <c r="T140" s="109">
        <v>0.33333333333333331</v>
      </c>
      <c r="U140" s="109">
        <v>0.5</v>
      </c>
      <c r="V140" s="109">
        <v>0.5625</v>
      </c>
      <c r="W140" s="109">
        <v>0.72916666666666663</v>
      </c>
      <c r="X140" s="102">
        <f>HDSD!$F$4</f>
        <v>5</v>
      </c>
      <c r="Y140" s="102">
        <f>SUMIFS('2. Đi muộn về sớm'!$K:$K,
'2. Đi muộn về sớm'!$B:$B,$A140,
'2. Đi muộn về sớm'!$D:$D,$J140)</f>
        <v>0</v>
      </c>
      <c r="Z140" s="110">
        <f t="shared" si="221"/>
        <v>0</v>
      </c>
      <c r="AA140" s="110">
        <f t="shared" si="222"/>
        <v>0</v>
      </c>
      <c r="AB140" s="111">
        <f t="shared" si="223"/>
        <v>0</v>
      </c>
      <c r="AC140" s="112">
        <f t="shared" si="201"/>
        <v>0</v>
      </c>
      <c r="AD140" s="113">
        <f t="shared" si="202"/>
        <v>0</v>
      </c>
      <c r="AE140" s="111">
        <f t="shared" si="224"/>
        <v>0</v>
      </c>
      <c r="AF140" s="113">
        <f t="shared" si="203"/>
        <v>0</v>
      </c>
      <c r="AG140" s="113">
        <f t="shared" si="204"/>
        <v>0</v>
      </c>
      <c r="AH140" s="114">
        <f t="shared" si="148"/>
        <v>9.7275000000000009</v>
      </c>
      <c r="AI140" s="102" t="str">
        <f t="shared" si="205"/>
        <v>X:8</v>
      </c>
      <c r="AJ140" s="102" t="str">
        <f t="shared" si="206"/>
        <v>NV10943783</v>
      </c>
      <c r="AK140" s="102" t="str">
        <f>IF(OR(J140&lt;D140,J140&gt;F140),"",
IFERROR(INDEX('3. Đơn xin nghỉ'!$K:$K,MATCH('4. Tổng hợp dữ liệu'!AJ140,'3. Đơn xin nghỉ'!$I:$I,0),1),
IF(AND(AU140="Không CC",I140&lt;&gt;1),"Ro:8","")))</f>
        <v/>
      </c>
      <c r="AL140" s="102" t="str">
        <f t="shared" si="207"/>
        <v/>
      </c>
      <c r="AM140" s="102" t="str">
        <f t="shared" si="225"/>
        <v>X:8</v>
      </c>
      <c r="AN140" s="102" t="s">
        <v>92</v>
      </c>
      <c r="AO140" s="102"/>
      <c r="AP140" s="115">
        <f>IFERROR(VLOOKUP(AN140,'Quy đổi công'!A:D,3,0),0)</f>
        <v>1</v>
      </c>
      <c r="AQ140" s="115">
        <f>IFERROR(VLOOKUP(AN140,'Quy đổi công'!A:D,4,0),0)</f>
        <v>0</v>
      </c>
      <c r="AR140" s="115">
        <f t="shared" si="208"/>
        <v>0</v>
      </c>
      <c r="AS140" s="115">
        <f t="shared" si="226"/>
        <v>1</v>
      </c>
      <c r="AT140" s="115">
        <f t="shared" si="227"/>
        <v>0</v>
      </c>
      <c r="AU140" s="102" t="str">
        <f t="shared" si="209"/>
        <v/>
      </c>
      <c r="AV140" s="102" t="str">
        <f t="shared" si="210"/>
        <v/>
      </c>
      <c r="AW140" s="102" t="str">
        <f t="shared" si="211"/>
        <v/>
      </c>
      <c r="AX140" s="102" t="str">
        <f t="shared" si="212"/>
        <v/>
      </c>
      <c r="AY140" s="102" t="str">
        <f t="shared" si="213"/>
        <v/>
      </c>
      <c r="AZ140" s="102"/>
      <c r="BA140" s="102">
        <f>IF(AV140&lt;&gt;0,COUNTIFS($A$7:A140,A140,$AV$7:AV140,"Quên check in"))
+IF(AW140&lt;&gt;0,COUNTIFS($A$7:A140,A140,$AW$7:AW140,"Quên check in"))
+IF(AX140&lt;&gt;0,COUNTIFS($A$7:A140,A140,$AX$7:AX140,"Quên check out"))
+IF(AY140&lt;&gt;0,COUNTIFS($A$7:A140,A140,$AY$7:AY140,"Quên check out"))</f>
        <v>0</v>
      </c>
      <c r="BB140" s="143">
        <f t="shared" si="214"/>
        <v>0</v>
      </c>
    </row>
    <row r="141" spans="1:54" s="83" customFormat="1" ht="14.1" customHeight="1" x14ac:dyDescent="0.3">
      <c r="A141" s="103" t="s">
        <v>8</v>
      </c>
      <c r="B141" s="104" t="s">
        <v>17</v>
      </c>
      <c r="C141" s="105">
        <v>5000000</v>
      </c>
      <c r="D141" s="106">
        <v>43423</v>
      </c>
      <c r="E141" s="107">
        <v>43617</v>
      </c>
      <c r="F141" s="107">
        <v>73415</v>
      </c>
      <c r="G141" s="105">
        <v>26</v>
      </c>
      <c r="H141" s="105">
        <f t="shared" si="215"/>
        <v>5</v>
      </c>
      <c r="I141" s="105"/>
      <c r="J141" s="108">
        <v>43783</v>
      </c>
      <c r="K141" s="108" t="str">
        <f t="shared" si="216"/>
        <v>NV11343783VàoSáng</v>
      </c>
      <c r="L141" s="102" t="str">
        <f>IFERROR(VLOOKUP(K141,'1. Vân tay'!$F:$G,2,0),0)</f>
        <v>07:42:43</v>
      </c>
      <c r="M141" s="108" t="str">
        <f t="shared" si="217"/>
        <v>NV11343783RaSáng</v>
      </c>
      <c r="N141" s="102">
        <f>IFERROR(VLOOKUP(M141,'1. Vân tay'!$F:$G,2,0),0)</f>
        <v>0</v>
      </c>
      <c r="O141" s="108" t="str">
        <f t="shared" si="218"/>
        <v>NV11343783VàoChiều</v>
      </c>
      <c r="P141" s="102">
        <f>IFERROR(VLOOKUP(O141,'1. Vân tay'!$F:$G,2,0),0)</f>
        <v>0</v>
      </c>
      <c r="Q141" s="108" t="str">
        <f t="shared" si="219"/>
        <v>NV11343783RaChiều</v>
      </c>
      <c r="R141" s="102" t="str">
        <f>IFERROR(VLOOKUP(Q141,'1. Vân tay'!$F:$G,2,0),0)</f>
        <v>17:43:02</v>
      </c>
      <c r="S141" s="102">
        <f t="shared" si="220"/>
        <v>0</v>
      </c>
      <c r="T141" s="109">
        <v>0.33333333333333331</v>
      </c>
      <c r="U141" s="109">
        <v>0.5</v>
      </c>
      <c r="V141" s="109">
        <v>0.5625</v>
      </c>
      <c r="W141" s="109">
        <v>0.72916666666666663</v>
      </c>
      <c r="X141" s="102">
        <f>HDSD!$F$4</f>
        <v>5</v>
      </c>
      <c r="Y141" s="102">
        <f>SUMIFS('2. Đi muộn về sớm'!$K:$K,
'2. Đi muộn về sớm'!$B:$B,$A141,
'2. Đi muộn về sớm'!$D:$D,$J141)</f>
        <v>0</v>
      </c>
      <c r="Z141" s="110">
        <f t="shared" si="221"/>
        <v>0</v>
      </c>
      <c r="AA141" s="110">
        <f t="shared" si="222"/>
        <v>0</v>
      </c>
      <c r="AB141" s="111">
        <f t="shared" si="223"/>
        <v>0</v>
      </c>
      <c r="AC141" s="112">
        <f t="shared" si="201"/>
        <v>0</v>
      </c>
      <c r="AD141" s="113">
        <f t="shared" si="202"/>
        <v>0</v>
      </c>
      <c r="AE141" s="111">
        <f t="shared" si="224"/>
        <v>0</v>
      </c>
      <c r="AF141" s="113">
        <f t="shared" si="203"/>
        <v>0</v>
      </c>
      <c r="AG141" s="113">
        <f t="shared" si="204"/>
        <v>0</v>
      </c>
      <c r="AH141" s="114">
        <f t="shared" si="148"/>
        <v>10.005277777777778</v>
      </c>
      <c r="AI141" s="102" t="str">
        <f t="shared" si="205"/>
        <v>X:8</v>
      </c>
      <c r="AJ141" s="102" t="str">
        <f t="shared" si="206"/>
        <v>NV11343783</v>
      </c>
      <c r="AK141" s="102" t="str">
        <f>IF(OR(J141&lt;D141,J141&gt;F141),"",
IFERROR(INDEX('3. Đơn xin nghỉ'!$K:$K,MATCH('4. Tổng hợp dữ liệu'!AJ141,'3. Đơn xin nghỉ'!$I:$I,0),1),
IF(AND(AU141="Không CC",I141&lt;&gt;1),"Ro:8","")))</f>
        <v/>
      </c>
      <c r="AL141" s="102" t="str">
        <f t="shared" si="207"/>
        <v/>
      </c>
      <c r="AM141" s="102" t="str">
        <f t="shared" si="225"/>
        <v>X:8</v>
      </c>
      <c r="AN141" s="102" t="s">
        <v>92</v>
      </c>
      <c r="AO141" s="102"/>
      <c r="AP141" s="115">
        <f>IFERROR(VLOOKUP(AN141,'Quy đổi công'!A:D,3,0),0)</f>
        <v>1</v>
      </c>
      <c r="AQ141" s="115">
        <f>IFERROR(VLOOKUP(AN141,'Quy đổi công'!A:D,4,0),0)</f>
        <v>0</v>
      </c>
      <c r="AR141" s="115">
        <f t="shared" si="208"/>
        <v>0</v>
      </c>
      <c r="AS141" s="115">
        <f t="shared" si="226"/>
        <v>1</v>
      </c>
      <c r="AT141" s="115">
        <f t="shared" si="227"/>
        <v>0</v>
      </c>
      <c r="AU141" s="102" t="str">
        <f t="shared" si="209"/>
        <v/>
      </c>
      <c r="AV141" s="102" t="str">
        <f t="shared" si="210"/>
        <v/>
      </c>
      <c r="AW141" s="102" t="str">
        <f t="shared" si="211"/>
        <v/>
      </c>
      <c r="AX141" s="102" t="str">
        <f t="shared" si="212"/>
        <v/>
      </c>
      <c r="AY141" s="102" t="str">
        <f t="shared" si="213"/>
        <v/>
      </c>
      <c r="AZ141" s="102"/>
      <c r="BA141" s="102">
        <f>IF(AV141&lt;&gt;0,COUNTIFS($A$7:A141,A141,$AV$7:AV141,"Quên check in"))
+IF(AW141&lt;&gt;0,COUNTIFS($A$7:A141,A141,$AW$7:AW141,"Quên check in"))
+IF(AX141&lt;&gt;0,COUNTIFS($A$7:A141,A141,$AX$7:AX141,"Quên check out"))
+IF(AY141&lt;&gt;0,COUNTIFS($A$7:A141,A141,$AY$7:AY141,"Quên check out"))</f>
        <v>1</v>
      </c>
      <c r="BB141" s="143">
        <f t="shared" si="214"/>
        <v>0</v>
      </c>
    </row>
    <row r="142" spans="1:54" s="83" customFormat="1" ht="14.1" customHeight="1" x14ac:dyDescent="0.3">
      <c r="A142" s="103" t="s">
        <v>9</v>
      </c>
      <c r="B142" s="104" t="s">
        <v>18</v>
      </c>
      <c r="C142" s="105">
        <v>4900000</v>
      </c>
      <c r="D142" s="106">
        <v>43437</v>
      </c>
      <c r="E142" s="107">
        <v>43617</v>
      </c>
      <c r="F142" s="107">
        <v>73415</v>
      </c>
      <c r="G142" s="105">
        <v>26</v>
      </c>
      <c r="H142" s="105">
        <f t="shared" si="215"/>
        <v>5</v>
      </c>
      <c r="I142" s="105"/>
      <c r="J142" s="108">
        <v>43783</v>
      </c>
      <c r="K142" s="108" t="str">
        <f t="shared" si="216"/>
        <v>NV11443783VàoSáng</v>
      </c>
      <c r="L142" s="102" t="str">
        <f>IFERROR(VLOOKUP(K142,'1. Vân tay'!$F:$G,2,0),0)</f>
        <v>08:04:03</v>
      </c>
      <c r="M142" s="108" t="str">
        <f t="shared" si="217"/>
        <v>NV11443783RaSáng</v>
      </c>
      <c r="N142" s="102">
        <f>IFERROR(VLOOKUP(M142,'1. Vân tay'!$F:$G,2,0),0)</f>
        <v>0</v>
      </c>
      <c r="O142" s="108" t="str">
        <f t="shared" si="218"/>
        <v>NV11443783VàoChiều</v>
      </c>
      <c r="P142" s="102">
        <f>IFERROR(VLOOKUP(O142,'1. Vân tay'!$F:$G,2,0),0)</f>
        <v>0</v>
      </c>
      <c r="Q142" s="108" t="str">
        <f t="shared" si="219"/>
        <v>NV11443783RaChiều</v>
      </c>
      <c r="R142" s="102" t="str">
        <f>IFERROR(VLOOKUP(Q142,'1. Vân tay'!$F:$G,2,0),0)</f>
        <v>17:36:13</v>
      </c>
      <c r="S142" s="102">
        <f t="shared" si="220"/>
        <v>0</v>
      </c>
      <c r="T142" s="109">
        <v>0.33333333333333331</v>
      </c>
      <c r="U142" s="109">
        <v>0.5</v>
      </c>
      <c r="V142" s="109">
        <v>0.5625</v>
      </c>
      <c r="W142" s="109">
        <v>0.72916666666666663</v>
      </c>
      <c r="X142" s="102">
        <f>HDSD!$F$4</f>
        <v>5</v>
      </c>
      <c r="Y142" s="102">
        <f>SUMIFS('2. Đi muộn về sớm'!$K:$K,
'2. Đi muộn về sớm'!$B:$B,$A142,
'2. Đi muộn về sớm'!$D:$D,$J142)</f>
        <v>0</v>
      </c>
      <c r="Z142" s="110">
        <f t="shared" si="221"/>
        <v>4.05</v>
      </c>
      <c r="AA142" s="110">
        <f t="shared" si="222"/>
        <v>0</v>
      </c>
      <c r="AB142" s="111">
        <f t="shared" si="223"/>
        <v>4.05</v>
      </c>
      <c r="AC142" s="112">
        <f t="shared" si="201"/>
        <v>0</v>
      </c>
      <c r="AD142" s="113">
        <f t="shared" si="202"/>
        <v>0</v>
      </c>
      <c r="AE142" s="111">
        <f t="shared" si="224"/>
        <v>0</v>
      </c>
      <c r="AF142" s="113">
        <f t="shared" si="203"/>
        <v>0</v>
      </c>
      <c r="AG142" s="113">
        <f t="shared" si="204"/>
        <v>0</v>
      </c>
      <c r="AH142" s="114">
        <f t="shared" si="148"/>
        <v>9.5361111111111114</v>
      </c>
      <c r="AI142" s="102" t="str">
        <f t="shared" si="205"/>
        <v>X:8</v>
      </c>
      <c r="AJ142" s="102" t="str">
        <f t="shared" si="206"/>
        <v>NV11443783</v>
      </c>
      <c r="AK142" s="102" t="str">
        <f>IF(OR(J142&lt;D142,J142&gt;F142),"",
IFERROR(INDEX('3. Đơn xin nghỉ'!$K:$K,MATCH('4. Tổng hợp dữ liệu'!AJ142,'3. Đơn xin nghỉ'!$I:$I,0),1),
IF(AND(AU142="Không CC",I142&lt;&gt;1),"Ro:8","")))</f>
        <v/>
      </c>
      <c r="AL142" s="102" t="str">
        <f t="shared" si="207"/>
        <v/>
      </c>
      <c r="AM142" s="102" t="str">
        <f t="shared" si="225"/>
        <v>X:8</v>
      </c>
      <c r="AN142" s="102" t="s">
        <v>92</v>
      </c>
      <c r="AO142" s="102"/>
      <c r="AP142" s="115">
        <f>IFERROR(VLOOKUP(AN142,'Quy đổi công'!A:D,3,0),0)</f>
        <v>1</v>
      </c>
      <c r="AQ142" s="115">
        <f>IFERROR(VLOOKUP(AN142,'Quy đổi công'!A:D,4,0),0)</f>
        <v>0</v>
      </c>
      <c r="AR142" s="115">
        <f t="shared" si="208"/>
        <v>0</v>
      </c>
      <c r="AS142" s="115">
        <f t="shared" si="226"/>
        <v>1</v>
      </c>
      <c r="AT142" s="115">
        <f t="shared" si="227"/>
        <v>0</v>
      </c>
      <c r="AU142" s="102" t="str">
        <f t="shared" si="209"/>
        <v/>
      </c>
      <c r="AV142" s="102" t="str">
        <f t="shared" si="210"/>
        <v/>
      </c>
      <c r="AW142" s="102" t="str">
        <f t="shared" si="211"/>
        <v/>
      </c>
      <c r="AX142" s="102" t="str">
        <f t="shared" si="212"/>
        <v/>
      </c>
      <c r="AY142" s="102" t="str">
        <f t="shared" si="213"/>
        <v/>
      </c>
      <c r="AZ142" s="102"/>
      <c r="BA142" s="102">
        <f>IF(AV142&lt;&gt;0,COUNTIFS($A$7:A142,A142,$AV$7:AV142,"Quên check in"))
+IF(AW142&lt;&gt;0,COUNTIFS($A$7:A142,A142,$AW$7:AW142,"Quên check in"))
+IF(AX142&lt;&gt;0,COUNTIFS($A$7:A142,A142,$AX$7:AX142,"Quên check out"))
+IF(AY142&lt;&gt;0,COUNTIFS($A$7:A142,A142,$AY$7:AY142,"Quên check out"))</f>
        <v>1</v>
      </c>
      <c r="BB142" s="143">
        <f t="shared" si="214"/>
        <v>0</v>
      </c>
    </row>
    <row r="143" spans="1:54" s="83" customFormat="1" ht="14.1" customHeight="1" x14ac:dyDescent="0.3">
      <c r="A143" s="103" t="s">
        <v>10</v>
      </c>
      <c r="B143" s="104" t="s">
        <v>19</v>
      </c>
      <c r="C143" s="105">
        <v>5000000</v>
      </c>
      <c r="D143" s="106">
        <v>43445</v>
      </c>
      <c r="E143" s="107">
        <v>43647</v>
      </c>
      <c r="F143" s="107">
        <v>73415</v>
      </c>
      <c r="G143" s="105">
        <v>26</v>
      </c>
      <c r="H143" s="105">
        <f t="shared" si="215"/>
        <v>5</v>
      </c>
      <c r="I143" s="105"/>
      <c r="J143" s="108">
        <v>43783</v>
      </c>
      <c r="K143" s="108" t="str">
        <f t="shared" si="216"/>
        <v>NV11843783VàoSáng</v>
      </c>
      <c r="L143" s="102" t="str">
        <f>IFERROR(VLOOKUP(K143,'1. Vân tay'!$F:$G,2,0),0)</f>
        <v>08:03:51</v>
      </c>
      <c r="M143" s="108" t="str">
        <f t="shared" si="217"/>
        <v>NV11843783RaSáng</v>
      </c>
      <c r="N143" s="102">
        <f>IFERROR(VLOOKUP(M143,'1. Vân tay'!$F:$G,2,0),0)</f>
        <v>0</v>
      </c>
      <c r="O143" s="108" t="str">
        <f t="shared" si="218"/>
        <v>NV11843783VàoChiều</v>
      </c>
      <c r="P143" s="102">
        <f>IFERROR(VLOOKUP(O143,'1. Vân tay'!$F:$G,2,0),0)</f>
        <v>0</v>
      </c>
      <c r="Q143" s="108" t="str">
        <f t="shared" si="219"/>
        <v>NV11843783RaChiều</v>
      </c>
      <c r="R143" s="102" t="str">
        <f>IFERROR(VLOOKUP(Q143,'1. Vân tay'!$F:$G,2,0),0)</f>
        <v>17:36:42</v>
      </c>
      <c r="S143" s="102">
        <f t="shared" si="220"/>
        <v>0</v>
      </c>
      <c r="T143" s="109">
        <v>0.33333333333333331</v>
      </c>
      <c r="U143" s="109">
        <v>0.5</v>
      </c>
      <c r="V143" s="109">
        <v>0.5625</v>
      </c>
      <c r="W143" s="109">
        <v>0.72916666666666663</v>
      </c>
      <c r="X143" s="102">
        <f>HDSD!$F$4</f>
        <v>5</v>
      </c>
      <c r="Y143" s="102">
        <f>SUMIFS('2. Đi muộn về sớm'!$K:$K,
'2. Đi muộn về sớm'!$B:$B,$A143,
'2. Đi muộn về sớm'!$D:$D,$J143)</f>
        <v>0</v>
      </c>
      <c r="Z143" s="110">
        <f t="shared" si="221"/>
        <v>3.85</v>
      </c>
      <c r="AA143" s="110">
        <f t="shared" si="222"/>
        <v>0</v>
      </c>
      <c r="AB143" s="111">
        <f t="shared" si="223"/>
        <v>3.85</v>
      </c>
      <c r="AC143" s="112">
        <f t="shared" si="201"/>
        <v>0</v>
      </c>
      <c r="AD143" s="113">
        <f t="shared" si="202"/>
        <v>0</v>
      </c>
      <c r="AE143" s="111">
        <f t="shared" si="224"/>
        <v>0</v>
      </c>
      <c r="AF143" s="113">
        <f t="shared" si="203"/>
        <v>0</v>
      </c>
      <c r="AG143" s="113">
        <f t="shared" si="204"/>
        <v>0</v>
      </c>
      <c r="AH143" s="114">
        <f t="shared" si="148"/>
        <v>9.5474999999999994</v>
      </c>
      <c r="AI143" s="102" t="str">
        <f t="shared" si="205"/>
        <v>X:8</v>
      </c>
      <c r="AJ143" s="102" t="str">
        <f t="shared" si="206"/>
        <v>NV11843783</v>
      </c>
      <c r="AK143" s="102" t="str">
        <f>IF(OR(J143&lt;D143,J143&gt;F143),"",
IFERROR(INDEX('3. Đơn xin nghỉ'!$K:$K,MATCH('4. Tổng hợp dữ liệu'!AJ143,'3. Đơn xin nghỉ'!$I:$I,0),1),
IF(AND(AU143="Không CC",I143&lt;&gt;1),"Ro:8","")))</f>
        <v/>
      </c>
      <c r="AL143" s="102" t="str">
        <f t="shared" si="207"/>
        <v/>
      </c>
      <c r="AM143" s="102" t="str">
        <f t="shared" si="225"/>
        <v>X:8</v>
      </c>
      <c r="AN143" s="102" t="s">
        <v>92</v>
      </c>
      <c r="AO143" s="102"/>
      <c r="AP143" s="115">
        <f>IFERROR(VLOOKUP(AN143,'Quy đổi công'!A:D,3,0),0)</f>
        <v>1</v>
      </c>
      <c r="AQ143" s="115">
        <f>IFERROR(VLOOKUP(AN143,'Quy đổi công'!A:D,4,0),0)</f>
        <v>0</v>
      </c>
      <c r="AR143" s="115">
        <f t="shared" si="208"/>
        <v>0</v>
      </c>
      <c r="AS143" s="115">
        <f t="shared" si="226"/>
        <v>1</v>
      </c>
      <c r="AT143" s="115">
        <f t="shared" si="227"/>
        <v>0</v>
      </c>
      <c r="AU143" s="102" t="str">
        <f t="shared" si="209"/>
        <v/>
      </c>
      <c r="AV143" s="102" t="str">
        <f t="shared" si="210"/>
        <v/>
      </c>
      <c r="AW143" s="102" t="str">
        <f t="shared" si="211"/>
        <v/>
      </c>
      <c r="AX143" s="102" t="str">
        <f t="shared" si="212"/>
        <v/>
      </c>
      <c r="AY143" s="102" t="str">
        <f t="shared" si="213"/>
        <v/>
      </c>
      <c r="AZ143" s="102"/>
      <c r="BA143" s="102">
        <f>IF(AV143&lt;&gt;0,COUNTIFS($A$7:A143,A143,$AV$7:AV143,"Quên check in"))
+IF(AW143&lt;&gt;0,COUNTIFS($A$7:A143,A143,$AW$7:AW143,"Quên check in"))
+IF(AX143&lt;&gt;0,COUNTIFS($A$7:A143,A143,$AX$7:AX143,"Quên check out"))
+IF(AY143&lt;&gt;0,COUNTIFS($A$7:A143,A143,$AY$7:AY143,"Quên check out"))</f>
        <v>0</v>
      </c>
      <c r="BB143" s="143">
        <f t="shared" si="214"/>
        <v>0</v>
      </c>
    </row>
    <row r="144" spans="1:54" s="83" customFormat="1" ht="14.1" customHeight="1" x14ac:dyDescent="0.3">
      <c r="A144" s="103" t="s">
        <v>11</v>
      </c>
      <c r="B144" s="104" t="s">
        <v>20</v>
      </c>
      <c r="C144" s="105">
        <v>4700000</v>
      </c>
      <c r="D144" s="106">
        <v>43467</v>
      </c>
      <c r="E144" s="107">
        <v>43617</v>
      </c>
      <c r="F144" s="107">
        <v>73415</v>
      </c>
      <c r="G144" s="105">
        <v>26</v>
      </c>
      <c r="H144" s="105">
        <f t="shared" si="215"/>
        <v>5</v>
      </c>
      <c r="I144" s="105"/>
      <c r="J144" s="108">
        <v>43783</v>
      </c>
      <c r="K144" s="108" t="str">
        <f t="shared" si="216"/>
        <v>NV12243783VàoSáng</v>
      </c>
      <c r="L144" s="102" t="str">
        <f>IFERROR(VLOOKUP(K144,'1. Vân tay'!$F:$G,2,0),0)</f>
        <v>08:10:54</v>
      </c>
      <c r="M144" s="108" t="str">
        <f t="shared" si="217"/>
        <v>NV12243783RaSáng</v>
      </c>
      <c r="N144" s="102">
        <f>IFERROR(VLOOKUP(M144,'1. Vân tay'!$F:$G,2,0),0)</f>
        <v>0</v>
      </c>
      <c r="O144" s="108" t="str">
        <f t="shared" si="218"/>
        <v>NV12243783VàoChiều</v>
      </c>
      <c r="P144" s="102">
        <f>IFERROR(VLOOKUP(O144,'1. Vân tay'!$F:$G,2,0),0)</f>
        <v>0</v>
      </c>
      <c r="Q144" s="108" t="str">
        <f t="shared" si="219"/>
        <v>NV12243783RaChiều</v>
      </c>
      <c r="R144" s="102" t="str">
        <f>IFERROR(VLOOKUP(Q144,'1. Vân tay'!$F:$G,2,0),0)</f>
        <v>17:33:05</v>
      </c>
      <c r="S144" s="102">
        <f t="shared" si="220"/>
        <v>0</v>
      </c>
      <c r="T144" s="109">
        <v>0.33333333333333331</v>
      </c>
      <c r="U144" s="109">
        <v>0.5</v>
      </c>
      <c r="V144" s="109">
        <v>0.5625</v>
      </c>
      <c r="W144" s="109">
        <v>0.72916666666666663</v>
      </c>
      <c r="X144" s="102">
        <f>HDSD!$F$4</f>
        <v>5</v>
      </c>
      <c r="Y144" s="102">
        <f>SUMIFS('2. Đi muộn về sớm'!$K:$K,
'2. Đi muộn về sớm'!$B:$B,$A144,
'2. Đi muộn về sớm'!$D:$D,$J144)</f>
        <v>0</v>
      </c>
      <c r="Z144" s="110">
        <f t="shared" si="221"/>
        <v>10.9</v>
      </c>
      <c r="AA144" s="110">
        <f t="shared" si="222"/>
        <v>0</v>
      </c>
      <c r="AB144" s="111">
        <f t="shared" si="223"/>
        <v>10.9</v>
      </c>
      <c r="AC144" s="112">
        <f t="shared" si="201"/>
        <v>5.9</v>
      </c>
      <c r="AD144" s="113">
        <f t="shared" si="202"/>
        <v>11800</v>
      </c>
      <c r="AE144" s="111">
        <f t="shared" si="224"/>
        <v>0</v>
      </c>
      <c r="AF144" s="113">
        <f t="shared" si="203"/>
        <v>0</v>
      </c>
      <c r="AG144" s="113">
        <f t="shared" si="204"/>
        <v>11800</v>
      </c>
      <c r="AH144" s="114">
        <f t="shared" si="148"/>
        <v>9.3697222222222223</v>
      </c>
      <c r="AI144" s="102" t="str">
        <f t="shared" si="205"/>
        <v>X:8</v>
      </c>
      <c r="AJ144" s="102" t="str">
        <f t="shared" si="206"/>
        <v>NV12243783</v>
      </c>
      <c r="AK144" s="102" t="str">
        <f>IF(OR(J144&lt;D144,J144&gt;F144),"",
IFERROR(INDEX('3. Đơn xin nghỉ'!$K:$K,MATCH('4. Tổng hợp dữ liệu'!AJ144,'3. Đơn xin nghỉ'!$I:$I,0),1),
IF(AND(AU144="Không CC",I144&lt;&gt;1),"Ro:8","")))</f>
        <v/>
      </c>
      <c r="AL144" s="102" t="str">
        <f t="shared" si="207"/>
        <v/>
      </c>
      <c r="AM144" s="102" t="str">
        <f t="shared" si="225"/>
        <v>X:8</v>
      </c>
      <c r="AN144" s="102" t="s">
        <v>92</v>
      </c>
      <c r="AO144" s="102"/>
      <c r="AP144" s="115">
        <f>IFERROR(VLOOKUP(AN144,'Quy đổi công'!A:D,3,0),0)</f>
        <v>1</v>
      </c>
      <c r="AQ144" s="115">
        <f>IFERROR(VLOOKUP(AN144,'Quy đổi công'!A:D,4,0),0)</f>
        <v>0</v>
      </c>
      <c r="AR144" s="115">
        <f t="shared" si="208"/>
        <v>0</v>
      </c>
      <c r="AS144" s="115">
        <f t="shared" si="226"/>
        <v>1</v>
      </c>
      <c r="AT144" s="115">
        <f t="shared" si="227"/>
        <v>0</v>
      </c>
      <c r="AU144" s="102" t="str">
        <f t="shared" si="209"/>
        <v/>
      </c>
      <c r="AV144" s="102" t="str">
        <f t="shared" si="210"/>
        <v/>
      </c>
      <c r="AW144" s="102" t="str">
        <f t="shared" si="211"/>
        <v/>
      </c>
      <c r="AX144" s="102" t="str">
        <f t="shared" si="212"/>
        <v/>
      </c>
      <c r="AY144" s="102" t="str">
        <f t="shared" si="213"/>
        <v/>
      </c>
      <c r="AZ144" s="102"/>
      <c r="BA144" s="102">
        <f>IF(AV144&lt;&gt;0,COUNTIFS($A$7:A144,A144,$AV$7:AV144,"Quên check in"))
+IF(AW144&lt;&gt;0,COUNTIFS($A$7:A144,A144,$AW$7:AW144,"Quên check in"))
+IF(AX144&lt;&gt;0,COUNTIFS($A$7:A144,A144,$AX$7:AX144,"Quên check out"))
+IF(AY144&lt;&gt;0,COUNTIFS($A$7:A144,A144,$AY$7:AY144,"Quên check out"))</f>
        <v>1</v>
      </c>
      <c r="BB144" s="143">
        <f t="shared" si="214"/>
        <v>0</v>
      </c>
    </row>
    <row r="145" spans="1:54" s="83" customFormat="1" ht="14.1" customHeight="1" x14ac:dyDescent="0.3">
      <c r="A145" s="103" t="s">
        <v>12</v>
      </c>
      <c r="B145" s="104" t="s">
        <v>21</v>
      </c>
      <c r="C145" s="105">
        <v>5000000</v>
      </c>
      <c r="D145" s="106">
        <v>43482</v>
      </c>
      <c r="E145" s="107">
        <v>43647</v>
      </c>
      <c r="F145" s="107">
        <v>73415</v>
      </c>
      <c r="G145" s="105">
        <v>26</v>
      </c>
      <c r="H145" s="105">
        <f t="shared" si="215"/>
        <v>5</v>
      </c>
      <c r="I145" s="105"/>
      <c r="J145" s="108">
        <v>43783</v>
      </c>
      <c r="K145" s="108" t="str">
        <f t="shared" si="216"/>
        <v>NV12343783VàoSáng</v>
      </c>
      <c r="L145" s="102" t="str">
        <f>IFERROR(VLOOKUP(K145,'1. Vân tay'!$F:$G,2,0),0)</f>
        <v>07:51:47</v>
      </c>
      <c r="M145" s="108" t="str">
        <f t="shared" si="217"/>
        <v>NV12343783RaSáng</v>
      </c>
      <c r="N145" s="102">
        <f>IFERROR(VLOOKUP(M145,'1. Vân tay'!$F:$G,2,0),0)</f>
        <v>0</v>
      </c>
      <c r="O145" s="108" t="str">
        <f t="shared" si="218"/>
        <v>NV12343783VàoChiều</v>
      </c>
      <c r="P145" s="102">
        <f>IFERROR(VLOOKUP(O145,'1. Vân tay'!$F:$G,2,0),0)</f>
        <v>0</v>
      </c>
      <c r="Q145" s="108" t="str">
        <f t="shared" si="219"/>
        <v>NV12343783RaChiều</v>
      </c>
      <c r="R145" s="102" t="str">
        <f>IFERROR(VLOOKUP(Q145,'1. Vân tay'!$F:$G,2,0),0)</f>
        <v>17:36:48</v>
      </c>
      <c r="S145" s="102">
        <f t="shared" si="220"/>
        <v>0</v>
      </c>
      <c r="T145" s="109">
        <v>0.33333333333333331</v>
      </c>
      <c r="U145" s="109">
        <v>0.5</v>
      </c>
      <c r="V145" s="109">
        <v>0.5625</v>
      </c>
      <c r="W145" s="109">
        <v>0.72916666666666663</v>
      </c>
      <c r="X145" s="102">
        <f>HDSD!$F$4</f>
        <v>5</v>
      </c>
      <c r="Y145" s="102">
        <f>SUMIFS('2. Đi muộn về sớm'!$K:$K,
'2. Đi muộn về sớm'!$B:$B,$A145,
'2. Đi muộn về sớm'!$D:$D,$J145)</f>
        <v>0</v>
      </c>
      <c r="Z145" s="110">
        <f t="shared" si="221"/>
        <v>0</v>
      </c>
      <c r="AA145" s="110">
        <f t="shared" si="222"/>
        <v>0</v>
      </c>
      <c r="AB145" s="111">
        <f t="shared" si="223"/>
        <v>0</v>
      </c>
      <c r="AC145" s="112">
        <f t="shared" si="201"/>
        <v>0</v>
      </c>
      <c r="AD145" s="113">
        <f t="shared" si="202"/>
        <v>0</v>
      </c>
      <c r="AE145" s="111">
        <f t="shared" si="224"/>
        <v>0</v>
      </c>
      <c r="AF145" s="113">
        <f t="shared" si="203"/>
        <v>0</v>
      </c>
      <c r="AG145" s="113">
        <f t="shared" si="204"/>
        <v>0</v>
      </c>
      <c r="AH145" s="114">
        <f t="shared" si="148"/>
        <v>9.7502777777777769</v>
      </c>
      <c r="AI145" s="102" t="str">
        <f t="shared" si="205"/>
        <v>X:8</v>
      </c>
      <c r="AJ145" s="102" t="str">
        <f t="shared" si="206"/>
        <v>NV12343783</v>
      </c>
      <c r="AK145" s="102" t="str">
        <f>IF(OR(J145&lt;D145,J145&gt;F145),"",
IFERROR(INDEX('3. Đơn xin nghỉ'!$K:$K,MATCH('4. Tổng hợp dữ liệu'!AJ145,'3. Đơn xin nghỉ'!$I:$I,0),1),
IF(AND(AU145="Không CC",I145&lt;&gt;1),"Ro:8","")))</f>
        <v/>
      </c>
      <c r="AL145" s="102" t="str">
        <f t="shared" si="207"/>
        <v/>
      </c>
      <c r="AM145" s="102" t="str">
        <f t="shared" si="225"/>
        <v>X:8</v>
      </c>
      <c r="AN145" s="102" t="s">
        <v>92</v>
      </c>
      <c r="AO145" s="102"/>
      <c r="AP145" s="115">
        <f>IFERROR(VLOOKUP(AN145,'Quy đổi công'!A:D,3,0),0)</f>
        <v>1</v>
      </c>
      <c r="AQ145" s="115">
        <f>IFERROR(VLOOKUP(AN145,'Quy đổi công'!A:D,4,0),0)</f>
        <v>0</v>
      </c>
      <c r="AR145" s="115">
        <f t="shared" si="208"/>
        <v>0</v>
      </c>
      <c r="AS145" s="115">
        <f t="shared" si="226"/>
        <v>1</v>
      </c>
      <c r="AT145" s="115">
        <f t="shared" si="227"/>
        <v>0</v>
      </c>
      <c r="AU145" s="102" t="str">
        <f t="shared" si="209"/>
        <v/>
      </c>
      <c r="AV145" s="102" t="str">
        <f t="shared" si="210"/>
        <v/>
      </c>
      <c r="AW145" s="102" t="str">
        <f t="shared" si="211"/>
        <v/>
      </c>
      <c r="AX145" s="102" t="str">
        <f t="shared" si="212"/>
        <v/>
      </c>
      <c r="AY145" s="102" t="str">
        <f t="shared" si="213"/>
        <v/>
      </c>
      <c r="AZ145" s="102"/>
      <c r="BA145" s="102">
        <f>IF(AV145&lt;&gt;0,COUNTIFS($A$7:A145,A145,$AV$7:AV145,"Quên check in"))
+IF(AW145&lt;&gt;0,COUNTIFS($A$7:A145,A145,$AW$7:AW145,"Quên check in"))
+IF(AX145&lt;&gt;0,COUNTIFS($A$7:A145,A145,$AX$7:AX145,"Quên check out"))
+IF(AY145&lt;&gt;0,COUNTIFS($A$7:A145,A145,$AY$7:AY145,"Quên check out"))</f>
        <v>0</v>
      </c>
      <c r="BB145" s="143">
        <f t="shared" si="214"/>
        <v>0</v>
      </c>
    </row>
    <row r="146" spans="1:54" s="83" customFormat="1" ht="14.1" customHeight="1" x14ac:dyDescent="0.3">
      <c r="A146" s="103" t="s">
        <v>13</v>
      </c>
      <c r="B146" s="104" t="s">
        <v>22</v>
      </c>
      <c r="C146" s="105">
        <v>4700000</v>
      </c>
      <c r="D146" s="106">
        <v>43531</v>
      </c>
      <c r="E146" s="107">
        <v>43647</v>
      </c>
      <c r="F146" s="107">
        <v>73415</v>
      </c>
      <c r="G146" s="105">
        <v>26</v>
      </c>
      <c r="H146" s="105">
        <f t="shared" si="215"/>
        <v>5</v>
      </c>
      <c r="I146" s="105"/>
      <c r="J146" s="108">
        <v>43783</v>
      </c>
      <c r="K146" s="108" t="str">
        <f t="shared" si="216"/>
        <v>NV12643783VàoSáng</v>
      </c>
      <c r="L146" s="102" t="str">
        <f>IFERROR(VLOOKUP(K146,'1. Vân tay'!$F:$G,2,0),0)</f>
        <v>09:11:42</v>
      </c>
      <c r="M146" s="108" t="str">
        <f t="shared" si="217"/>
        <v>NV12643783RaSáng</v>
      </c>
      <c r="N146" s="102">
        <f>IFERROR(VLOOKUP(M146,'1. Vân tay'!$F:$G,2,0),0)</f>
        <v>0</v>
      </c>
      <c r="O146" s="108" t="str">
        <f t="shared" si="218"/>
        <v>NV12643783VàoChiều</v>
      </c>
      <c r="P146" s="102">
        <f>IFERROR(VLOOKUP(O146,'1. Vân tay'!$F:$G,2,0),0)</f>
        <v>0</v>
      </c>
      <c r="Q146" s="108" t="str">
        <f t="shared" si="219"/>
        <v>NV12643783RaChiều</v>
      </c>
      <c r="R146" s="102" t="str">
        <f>IFERROR(VLOOKUP(Q146,'1. Vân tay'!$F:$G,2,0),0)</f>
        <v>17:35:14</v>
      </c>
      <c r="S146" s="102">
        <f t="shared" si="220"/>
        <v>0</v>
      </c>
      <c r="T146" s="109">
        <v>0.33333333333333331</v>
      </c>
      <c r="U146" s="109">
        <v>0.5</v>
      </c>
      <c r="V146" s="109">
        <v>0.5625</v>
      </c>
      <c r="W146" s="109">
        <v>0.72916666666666663</v>
      </c>
      <c r="X146" s="102">
        <f>HDSD!$F$4</f>
        <v>5</v>
      </c>
      <c r="Y146" s="102">
        <f>SUMIFS('2. Đi muộn về sớm'!$K:$K,
'2. Đi muộn về sớm'!$B:$B,$A146,
'2. Đi muộn về sớm'!$D:$D,$J146)</f>
        <v>60</v>
      </c>
      <c r="Z146" s="110">
        <f t="shared" si="221"/>
        <v>71.7</v>
      </c>
      <c r="AA146" s="110">
        <f t="shared" si="222"/>
        <v>11.7</v>
      </c>
      <c r="AB146" s="111">
        <f t="shared" si="223"/>
        <v>60</v>
      </c>
      <c r="AC146" s="112">
        <f t="shared" si="201"/>
        <v>0</v>
      </c>
      <c r="AD146" s="113">
        <f t="shared" si="202"/>
        <v>0</v>
      </c>
      <c r="AE146" s="111">
        <f t="shared" si="224"/>
        <v>2.4374999999999997E-2</v>
      </c>
      <c r="AF146" s="113">
        <f t="shared" si="203"/>
        <v>4406.2499999999991</v>
      </c>
      <c r="AG146" s="113">
        <f t="shared" si="204"/>
        <v>4406.2499999999991</v>
      </c>
      <c r="AH146" s="114">
        <f t="shared" si="148"/>
        <v>8.3922222222222214</v>
      </c>
      <c r="AI146" s="102" t="str">
        <f t="shared" si="205"/>
        <v>X:8</v>
      </c>
      <c r="AJ146" s="102" t="str">
        <f t="shared" si="206"/>
        <v>NV12643783</v>
      </c>
      <c r="AK146" s="102" t="str">
        <f>IF(OR(J146&lt;D146,J146&gt;F146),"",
IFERROR(INDEX('3. Đơn xin nghỉ'!$K:$K,MATCH('4. Tổng hợp dữ liệu'!AJ146,'3. Đơn xin nghỉ'!$I:$I,0),1),
IF(AND(AU146="Không CC",I146&lt;&gt;1),"Ro:8","")))</f>
        <v/>
      </c>
      <c r="AL146" s="102" t="str">
        <f t="shared" si="207"/>
        <v/>
      </c>
      <c r="AM146" s="102" t="str">
        <f t="shared" si="225"/>
        <v>X:8</v>
      </c>
      <c r="AN146" s="102" t="s">
        <v>92</v>
      </c>
      <c r="AO146" s="102"/>
      <c r="AP146" s="115">
        <f>IFERROR(VLOOKUP(AN146,'Quy đổi công'!A:D,3,0),0)</f>
        <v>1</v>
      </c>
      <c r="AQ146" s="115">
        <f>IFERROR(VLOOKUP(AN146,'Quy đổi công'!A:D,4,0),0)</f>
        <v>0</v>
      </c>
      <c r="AR146" s="115">
        <f t="shared" si="208"/>
        <v>0</v>
      </c>
      <c r="AS146" s="115">
        <f t="shared" si="226"/>
        <v>1</v>
      </c>
      <c r="AT146" s="115">
        <f t="shared" si="227"/>
        <v>0</v>
      </c>
      <c r="AU146" s="102" t="str">
        <f t="shared" si="209"/>
        <v/>
      </c>
      <c r="AV146" s="102" t="str">
        <f t="shared" si="210"/>
        <v/>
      </c>
      <c r="AW146" s="102" t="str">
        <f t="shared" si="211"/>
        <v/>
      </c>
      <c r="AX146" s="102" t="str">
        <f t="shared" si="212"/>
        <v/>
      </c>
      <c r="AY146" s="102" t="str">
        <f t="shared" si="213"/>
        <v/>
      </c>
      <c r="AZ146" s="102"/>
      <c r="BA146" s="102">
        <f>IF(AV146&lt;&gt;0,COUNTIFS($A$7:A146,A146,$AV$7:AV146,"Quên check in"))
+IF(AW146&lt;&gt;0,COUNTIFS($A$7:A146,A146,$AW$7:AW146,"Quên check in"))
+IF(AX146&lt;&gt;0,COUNTIFS($A$7:A146,A146,$AX$7:AX146,"Quên check out"))
+IF(AY146&lt;&gt;0,COUNTIFS($A$7:A146,A146,$AY$7:AY146,"Quên check out"))</f>
        <v>0</v>
      </c>
      <c r="BB146" s="143">
        <f t="shared" si="214"/>
        <v>0</v>
      </c>
    </row>
    <row r="147" spans="1:54" s="83" customFormat="1" ht="14.1" customHeight="1" x14ac:dyDescent="0.3">
      <c r="A147" s="103" t="s">
        <v>4</v>
      </c>
      <c r="B147" s="104" t="s">
        <v>14</v>
      </c>
      <c r="C147" s="105">
        <v>4700000</v>
      </c>
      <c r="D147" s="106">
        <v>43388</v>
      </c>
      <c r="E147" s="107">
        <v>43525</v>
      </c>
      <c r="F147" s="107">
        <v>73415</v>
      </c>
      <c r="G147" s="105">
        <v>26</v>
      </c>
      <c r="H147" s="105">
        <f t="shared" ref="H147:H156" si="228">WEEKDAY(J147,1)</f>
        <v>6</v>
      </c>
      <c r="I147" s="105"/>
      <c r="J147" s="108">
        <v>43784</v>
      </c>
      <c r="K147" s="108" t="str">
        <f t="shared" ref="K147:K156" si="229">$A147&amp;$J147&amp;"Vào"&amp;"Sáng"</f>
        <v>NV10143784VàoSáng</v>
      </c>
      <c r="L147" s="102" t="str">
        <f>IFERROR(VLOOKUP(K147,'1. Vân tay'!$F:$G,2,0),0)</f>
        <v>08:04:44</v>
      </c>
      <c r="M147" s="108" t="str">
        <f t="shared" ref="M147:M156" si="230">$A147&amp;$J147&amp;"Ra"&amp;"Sáng"</f>
        <v>NV10143784RaSáng</v>
      </c>
      <c r="N147" s="102">
        <f>IFERROR(VLOOKUP(M147,'1. Vân tay'!$F:$G,2,0),0)</f>
        <v>0</v>
      </c>
      <c r="O147" s="108" t="str">
        <f t="shared" ref="O147:O156" si="231">$A147&amp;$J147&amp;"Vào"&amp;"Chiều"</f>
        <v>NV10143784VàoChiều</v>
      </c>
      <c r="P147" s="102">
        <f>IFERROR(VLOOKUP(O147,'1. Vân tay'!$F:$G,2,0),0)</f>
        <v>0</v>
      </c>
      <c r="Q147" s="108" t="str">
        <f t="shared" ref="Q147:Q156" si="232">$A147&amp;$J147&amp;"Ra"&amp;"Chiều"</f>
        <v>NV10143784RaChiều</v>
      </c>
      <c r="R147" s="102" t="str">
        <f>IFERROR(VLOOKUP(Q147,'1. Vân tay'!$F:$G,2,0),0)</f>
        <v>17:30:35</v>
      </c>
      <c r="S147" s="102">
        <f t="shared" ref="S147:S156" si="233">IF(OR(
(AND(L147&lt;&gt;0,P147&lt;&gt;0)),
(AND(N147&lt;&gt;0,R147&lt;&gt;0))),"Kiểm tra",0)</f>
        <v>0</v>
      </c>
      <c r="T147" s="109">
        <v>0.33333333333333331</v>
      </c>
      <c r="U147" s="109">
        <v>0.5</v>
      </c>
      <c r="V147" s="109">
        <v>0.5625</v>
      </c>
      <c r="W147" s="109">
        <v>0.72916666666666663</v>
      </c>
      <c r="X147" s="102">
        <f>HDSD!$F$4</f>
        <v>5</v>
      </c>
      <c r="Y147" s="102">
        <f>SUMIFS('2. Đi muộn về sớm'!$K:$K,
'2. Đi muộn về sớm'!$B:$B,$A147,
'2. Đi muộn về sớm'!$D:$D,$J147)</f>
        <v>0</v>
      </c>
      <c r="Z147" s="110">
        <f t="shared" ref="Z147:Z156" si="234">IF(L147=0,0,IFERROR((HOUR(L147-T147)*60+MINUTE(L147-T147)+SECOND(L147-T147)/60),0))
+IF(N147=0,0, IFERROR((HOUR(U147-N147)*60+MINUTE(U147-N147)+SECOND(U147-N147)/60),0))
+IF(P147=0,0, IFERROR((HOUR(P147-V147)*60+MINUTE(P147-V147)+SECOND(P147-V147)/60),0))
+IF(R147=0,0, IFERROR((HOUR(W147-R147)*60+MINUTE(W147-R147)+SECOND(W147-R147)/60),0))</f>
        <v>4.7333333333333334</v>
      </c>
      <c r="AA147" s="110">
        <f t="shared" ref="AA147:AA156" si="235">IF(L147=0,0,IFERROR((HOUR(L147-"09:00:00")*60+MINUTE(L147-"09:00:00")+SECOND(L147-"09:00:00")/60),0))
+IF(N147=0,0, IFERROR((HOUR(U147-N147)*60+MINUTE(U147-N147)+SECOND(U147-N147)/60),0))
+IF(P147=0,0, IFERROR((HOUR(P147-V147)*60+MINUTE(P147-V147)+SECOND(P147-V147)/60),0))
+IF(R147=0,0, IFERROR((HOUR("16:30:00"-R147)*60+MINUTE("16:30:00"-R147)+SECOND("16:30:00"-R147)/60),0))</f>
        <v>0</v>
      </c>
      <c r="AB147" s="111">
        <f t="shared" ref="AB147:AB156" si="236">Z147-AA147</f>
        <v>4.7333333333333334</v>
      </c>
      <c r="AC147" s="112">
        <f t="shared" si="201"/>
        <v>0</v>
      </c>
      <c r="AD147" s="113">
        <f t="shared" si="202"/>
        <v>0</v>
      </c>
      <c r="AE147" s="111">
        <f t="shared" ref="AE147:AE156" si="237">AA147/60/8</f>
        <v>0</v>
      </c>
      <c r="AF147" s="113">
        <f t="shared" si="203"/>
        <v>0</v>
      </c>
      <c r="AG147" s="113">
        <f t="shared" si="204"/>
        <v>0</v>
      </c>
      <c r="AH147" s="114">
        <f t="shared" si="148"/>
        <v>9.4308333333333323</v>
      </c>
      <c r="AI147" s="102" t="str">
        <f t="shared" si="205"/>
        <v>X:8</v>
      </c>
      <c r="AJ147" s="102" t="str">
        <f t="shared" si="206"/>
        <v>NV10143784</v>
      </c>
      <c r="AK147" s="102" t="str">
        <f>IF(OR(J147&lt;D147,J147&gt;F147),"",
IFERROR(INDEX('3. Đơn xin nghỉ'!$K:$K,MATCH('4. Tổng hợp dữ liệu'!AJ147,'3. Đơn xin nghỉ'!$I:$I,0),1),
IF(AND(AU147="Không CC",I147&lt;&gt;1),"Ro:8","")))</f>
        <v/>
      </c>
      <c r="AL147" s="102" t="str">
        <f t="shared" si="207"/>
        <v/>
      </c>
      <c r="AM147" s="102" t="str">
        <f t="shared" ref="AM147:AM156" si="238">IF(OR(AI147="",AK147=""),AI147&amp;AK147,AI147&amp;","&amp;AK147)&amp;AL147</f>
        <v>X:8</v>
      </c>
      <c r="AN147" s="102" t="s">
        <v>92</v>
      </c>
      <c r="AO147" s="102"/>
      <c r="AP147" s="115">
        <f>IFERROR(VLOOKUP(AN147,'Quy đổi công'!A:D,3,0),0)</f>
        <v>1</v>
      </c>
      <c r="AQ147" s="115">
        <f>IFERROR(VLOOKUP(AN147,'Quy đổi công'!A:D,4,0),0)</f>
        <v>0</v>
      </c>
      <c r="AR147" s="115">
        <f t="shared" si="208"/>
        <v>0</v>
      </c>
      <c r="AS147" s="115">
        <f t="shared" ref="AS147:AS156" si="239">AP147-AR147</f>
        <v>1</v>
      </c>
      <c r="AT147" s="115">
        <f t="shared" ref="AT147:AT156" si="240">IF(AN147="P8",1)
+IF(OR(AN147="X:4,P:4",AN147="P:4,Rv:4",AN147="P:4,Ro:4"),1/2)</f>
        <v>0</v>
      </c>
      <c r="AU147" s="102" t="str">
        <f t="shared" si="209"/>
        <v/>
      </c>
      <c r="AV147" s="102" t="str">
        <f t="shared" si="210"/>
        <v/>
      </c>
      <c r="AW147" s="102" t="str">
        <f t="shared" si="211"/>
        <v/>
      </c>
      <c r="AX147" s="102" t="str">
        <f t="shared" si="212"/>
        <v/>
      </c>
      <c r="AY147" s="102" t="str">
        <f t="shared" si="213"/>
        <v/>
      </c>
      <c r="AZ147" s="102"/>
      <c r="BA147" s="102">
        <f>IF(AV147&lt;&gt;0,COUNTIFS($A$7:A147,A147,$AV$7:AV147,"Quên check in"))
+IF(AW147&lt;&gt;0,COUNTIFS($A$7:A147,A147,$AW$7:AW147,"Quên check in"))
+IF(AX147&lt;&gt;0,COUNTIFS($A$7:A147,A147,$AX$7:AX147,"Quên check out"))
+IF(AY147&lt;&gt;0,COUNTIFS($A$7:A147,A147,$AY$7:AY147,"Quên check out"))</f>
        <v>0</v>
      </c>
      <c r="BB147" s="143">
        <f t="shared" si="214"/>
        <v>0</v>
      </c>
    </row>
    <row r="148" spans="1:54" s="83" customFormat="1" ht="14.1" customHeight="1" x14ac:dyDescent="0.3">
      <c r="A148" s="103" t="s">
        <v>5</v>
      </c>
      <c r="B148" s="104" t="s">
        <v>28</v>
      </c>
      <c r="C148" s="105">
        <v>10000000</v>
      </c>
      <c r="D148" s="106">
        <v>43409</v>
      </c>
      <c r="E148" s="107">
        <v>43678</v>
      </c>
      <c r="F148" s="107">
        <v>73415</v>
      </c>
      <c r="G148" s="105">
        <v>26</v>
      </c>
      <c r="H148" s="105">
        <f t="shared" si="228"/>
        <v>6</v>
      </c>
      <c r="I148" s="105"/>
      <c r="J148" s="108">
        <v>43784</v>
      </c>
      <c r="K148" s="108" t="str">
        <f t="shared" si="229"/>
        <v>NV10743784VàoSáng</v>
      </c>
      <c r="L148" s="102" t="str">
        <f>IFERROR(VLOOKUP(K148,'1. Vân tay'!$F:$G,2,0),0)</f>
        <v>07:51:08</v>
      </c>
      <c r="M148" s="108" t="str">
        <f t="shared" si="230"/>
        <v>NV10743784RaSáng</v>
      </c>
      <c r="N148" s="102">
        <f>IFERROR(VLOOKUP(M148,'1. Vân tay'!$F:$G,2,0),0)</f>
        <v>0</v>
      </c>
      <c r="O148" s="108" t="str">
        <f t="shared" si="231"/>
        <v>NV10743784VàoChiều</v>
      </c>
      <c r="P148" s="102">
        <f>IFERROR(VLOOKUP(O148,'1. Vân tay'!$F:$G,2,0),0)</f>
        <v>0</v>
      </c>
      <c r="Q148" s="108" t="str">
        <f t="shared" si="232"/>
        <v>NV10743784RaChiều</v>
      </c>
      <c r="R148" s="102" t="str">
        <f>IFERROR(VLOOKUP(Q148,'1. Vân tay'!$F:$G,2,0),0)</f>
        <v>17:54:34</v>
      </c>
      <c r="S148" s="102">
        <f t="shared" si="233"/>
        <v>0</v>
      </c>
      <c r="T148" s="109">
        <v>0.33333333333333331</v>
      </c>
      <c r="U148" s="109">
        <v>0.5</v>
      </c>
      <c r="V148" s="109">
        <v>0.5625</v>
      </c>
      <c r="W148" s="109">
        <v>0.72916666666666663</v>
      </c>
      <c r="X148" s="102">
        <f>HDSD!$F$4</f>
        <v>5</v>
      </c>
      <c r="Y148" s="102">
        <f>SUMIFS('2. Đi muộn về sớm'!$K:$K,
'2. Đi muộn về sớm'!$B:$B,$A148,
'2. Đi muộn về sớm'!$D:$D,$J148)</f>
        <v>0</v>
      </c>
      <c r="Z148" s="110">
        <f t="shared" si="234"/>
        <v>0</v>
      </c>
      <c r="AA148" s="110">
        <f t="shared" si="235"/>
        <v>0</v>
      </c>
      <c r="AB148" s="111">
        <f t="shared" si="236"/>
        <v>0</v>
      </c>
      <c r="AC148" s="112">
        <f t="shared" si="201"/>
        <v>0</v>
      </c>
      <c r="AD148" s="113">
        <f t="shared" si="202"/>
        <v>0</v>
      </c>
      <c r="AE148" s="111">
        <f t="shared" si="237"/>
        <v>0</v>
      </c>
      <c r="AF148" s="113">
        <f t="shared" si="203"/>
        <v>0</v>
      </c>
      <c r="AG148" s="113">
        <f t="shared" si="204"/>
        <v>0</v>
      </c>
      <c r="AH148" s="114">
        <f t="shared" si="148"/>
        <v>10.057222222222222</v>
      </c>
      <c r="AI148" s="102" t="str">
        <f t="shared" si="205"/>
        <v>X:8</v>
      </c>
      <c r="AJ148" s="102" t="str">
        <f t="shared" si="206"/>
        <v>NV10743784</v>
      </c>
      <c r="AK148" s="102" t="str">
        <f>IF(OR(J148&lt;D148,J148&gt;F148),"",
IFERROR(INDEX('3. Đơn xin nghỉ'!$K:$K,MATCH('4. Tổng hợp dữ liệu'!AJ148,'3. Đơn xin nghỉ'!$I:$I,0),1),
IF(AND(AU148="Không CC",I148&lt;&gt;1),"Ro:8","")))</f>
        <v/>
      </c>
      <c r="AL148" s="102" t="str">
        <f t="shared" si="207"/>
        <v/>
      </c>
      <c r="AM148" s="102" t="str">
        <f t="shared" si="238"/>
        <v>X:8</v>
      </c>
      <c r="AN148" s="102" t="s">
        <v>92</v>
      </c>
      <c r="AO148" s="102"/>
      <c r="AP148" s="115">
        <f>IFERROR(VLOOKUP(AN148,'Quy đổi công'!A:D,3,0),0)</f>
        <v>1</v>
      </c>
      <c r="AQ148" s="115">
        <f>IFERROR(VLOOKUP(AN148,'Quy đổi công'!A:D,4,0),0)</f>
        <v>0</v>
      </c>
      <c r="AR148" s="115">
        <f t="shared" si="208"/>
        <v>0</v>
      </c>
      <c r="AS148" s="115">
        <f t="shared" si="239"/>
        <v>1</v>
      </c>
      <c r="AT148" s="115">
        <f t="shared" si="240"/>
        <v>0</v>
      </c>
      <c r="AU148" s="102" t="str">
        <f t="shared" si="209"/>
        <v/>
      </c>
      <c r="AV148" s="102" t="str">
        <f t="shared" si="210"/>
        <v/>
      </c>
      <c r="AW148" s="102" t="str">
        <f t="shared" si="211"/>
        <v/>
      </c>
      <c r="AX148" s="102" t="str">
        <f t="shared" si="212"/>
        <v/>
      </c>
      <c r="AY148" s="102" t="str">
        <f t="shared" si="213"/>
        <v/>
      </c>
      <c r="AZ148" s="102"/>
      <c r="BA148" s="102">
        <f>IF(AV148&lt;&gt;0,COUNTIFS($A$7:A148,A148,$AV$7:AV148,"Quên check in"))
+IF(AW148&lt;&gt;0,COUNTIFS($A$7:A148,A148,$AW$7:AW148,"Quên check in"))
+IF(AX148&lt;&gt;0,COUNTIFS($A$7:A148,A148,$AX$7:AX148,"Quên check out"))
+IF(AY148&lt;&gt;0,COUNTIFS($A$7:A148,A148,$AY$7:AY148,"Quên check out"))</f>
        <v>2</v>
      </c>
      <c r="BB148" s="143">
        <f t="shared" si="214"/>
        <v>0</v>
      </c>
    </row>
    <row r="149" spans="1:54" s="83" customFormat="1" ht="14.1" customHeight="1" x14ac:dyDescent="0.3">
      <c r="A149" s="103" t="s">
        <v>6</v>
      </c>
      <c r="B149" s="104" t="s">
        <v>15</v>
      </c>
      <c r="C149" s="105">
        <v>4700000</v>
      </c>
      <c r="D149" s="106">
        <v>43409</v>
      </c>
      <c r="E149" s="107">
        <v>43617</v>
      </c>
      <c r="F149" s="107">
        <v>73415</v>
      </c>
      <c r="G149" s="105">
        <v>26</v>
      </c>
      <c r="H149" s="105">
        <f t="shared" si="228"/>
        <v>6</v>
      </c>
      <c r="I149" s="105"/>
      <c r="J149" s="108">
        <v>43784</v>
      </c>
      <c r="K149" s="108" t="str">
        <f t="shared" si="229"/>
        <v>NV10843784VàoSáng</v>
      </c>
      <c r="L149" s="102" t="str">
        <f>IFERROR(VLOOKUP(K149,'1. Vân tay'!$F:$G,2,0),0)</f>
        <v>08:09:02</v>
      </c>
      <c r="M149" s="108" t="str">
        <f t="shared" si="230"/>
        <v>NV10843784RaSáng</v>
      </c>
      <c r="N149" s="102">
        <f>IFERROR(VLOOKUP(M149,'1. Vân tay'!$F:$G,2,0),0)</f>
        <v>0</v>
      </c>
      <c r="O149" s="108" t="str">
        <f t="shared" si="231"/>
        <v>NV10843784VàoChiều</v>
      </c>
      <c r="P149" s="102">
        <f>IFERROR(VLOOKUP(O149,'1. Vân tay'!$F:$G,2,0),0)</f>
        <v>0</v>
      </c>
      <c r="Q149" s="108" t="str">
        <f t="shared" si="232"/>
        <v>NV10843784RaChiều</v>
      </c>
      <c r="R149" s="102" t="str">
        <f>IFERROR(VLOOKUP(Q149,'1. Vân tay'!$F:$G,2,0),0)</f>
        <v>17:41:37</v>
      </c>
      <c r="S149" s="102">
        <f t="shared" si="233"/>
        <v>0</v>
      </c>
      <c r="T149" s="109">
        <v>0.33333333333333331</v>
      </c>
      <c r="U149" s="109">
        <v>0.5</v>
      </c>
      <c r="V149" s="109">
        <v>0.5625</v>
      </c>
      <c r="W149" s="109">
        <v>0.72916666666666663</v>
      </c>
      <c r="X149" s="102">
        <f>HDSD!$F$4</f>
        <v>5</v>
      </c>
      <c r="Y149" s="102">
        <f>SUMIFS('2. Đi muộn về sớm'!$K:$K,
'2. Đi muộn về sớm'!$B:$B,$A149,
'2. Đi muộn về sớm'!$D:$D,$J149)</f>
        <v>0</v>
      </c>
      <c r="Z149" s="110">
        <f t="shared" si="234"/>
        <v>9.0333333333333332</v>
      </c>
      <c r="AA149" s="110">
        <f t="shared" si="235"/>
        <v>0</v>
      </c>
      <c r="AB149" s="111">
        <f t="shared" si="236"/>
        <v>9.0333333333333332</v>
      </c>
      <c r="AC149" s="112">
        <f t="shared" si="201"/>
        <v>4.0333333333333332</v>
      </c>
      <c r="AD149" s="113">
        <f t="shared" si="202"/>
        <v>8066.6666666666661</v>
      </c>
      <c r="AE149" s="111">
        <f t="shared" si="237"/>
        <v>0</v>
      </c>
      <c r="AF149" s="113">
        <f t="shared" si="203"/>
        <v>0</v>
      </c>
      <c r="AG149" s="113">
        <f t="shared" si="204"/>
        <v>8066.6666666666661</v>
      </c>
      <c r="AH149" s="114">
        <f t="shared" si="148"/>
        <v>9.5430555555555561</v>
      </c>
      <c r="AI149" s="102" t="str">
        <f t="shared" si="205"/>
        <v>X:8</v>
      </c>
      <c r="AJ149" s="102" t="str">
        <f t="shared" si="206"/>
        <v>NV10843784</v>
      </c>
      <c r="AK149" s="102" t="str">
        <f>IF(OR(J149&lt;D149,J149&gt;F149),"",
IFERROR(INDEX('3. Đơn xin nghỉ'!$K:$K,MATCH('4. Tổng hợp dữ liệu'!AJ149,'3. Đơn xin nghỉ'!$I:$I,0),1),
IF(AND(AU149="Không CC",I149&lt;&gt;1),"Ro:8","")))</f>
        <v/>
      </c>
      <c r="AL149" s="102" t="str">
        <f t="shared" si="207"/>
        <v/>
      </c>
      <c r="AM149" s="102" t="str">
        <f t="shared" si="238"/>
        <v>X:8</v>
      </c>
      <c r="AN149" s="102" t="s">
        <v>92</v>
      </c>
      <c r="AO149" s="102"/>
      <c r="AP149" s="115">
        <f>IFERROR(VLOOKUP(AN149,'Quy đổi công'!A:D,3,0),0)</f>
        <v>1</v>
      </c>
      <c r="AQ149" s="115">
        <f>IFERROR(VLOOKUP(AN149,'Quy đổi công'!A:D,4,0),0)</f>
        <v>0</v>
      </c>
      <c r="AR149" s="115">
        <f t="shared" si="208"/>
        <v>0</v>
      </c>
      <c r="AS149" s="115">
        <f t="shared" si="239"/>
        <v>1</v>
      </c>
      <c r="AT149" s="115">
        <f t="shared" si="240"/>
        <v>0</v>
      </c>
      <c r="AU149" s="102" t="str">
        <f t="shared" si="209"/>
        <v/>
      </c>
      <c r="AV149" s="102" t="str">
        <f t="shared" si="210"/>
        <v/>
      </c>
      <c r="AW149" s="102" t="str">
        <f t="shared" si="211"/>
        <v/>
      </c>
      <c r="AX149" s="102" t="str">
        <f t="shared" si="212"/>
        <v/>
      </c>
      <c r="AY149" s="102" t="str">
        <f t="shared" si="213"/>
        <v/>
      </c>
      <c r="AZ149" s="102"/>
      <c r="BA149" s="102">
        <f>IF(AV149&lt;&gt;0,COUNTIFS($A$7:A149,A149,$AV$7:AV149,"Quên check in"))
+IF(AW149&lt;&gt;0,COUNTIFS($A$7:A149,A149,$AW$7:AW149,"Quên check in"))
+IF(AX149&lt;&gt;0,COUNTIFS($A$7:A149,A149,$AX$7:AX149,"Quên check out"))
+IF(AY149&lt;&gt;0,COUNTIFS($A$7:A149,A149,$AY$7:AY149,"Quên check out"))</f>
        <v>0</v>
      </c>
      <c r="BB149" s="143">
        <f t="shared" si="214"/>
        <v>0</v>
      </c>
    </row>
    <row r="150" spans="1:54" s="83" customFormat="1" ht="14.1" customHeight="1" x14ac:dyDescent="0.3">
      <c r="A150" s="103" t="s">
        <v>7</v>
      </c>
      <c r="B150" s="104" t="s">
        <v>16</v>
      </c>
      <c r="C150" s="105">
        <v>5000000</v>
      </c>
      <c r="D150" s="106">
        <v>43416</v>
      </c>
      <c r="E150" s="107">
        <v>43617</v>
      </c>
      <c r="F150" s="107">
        <v>73415</v>
      </c>
      <c r="G150" s="105">
        <v>26</v>
      </c>
      <c r="H150" s="105">
        <f t="shared" si="228"/>
        <v>6</v>
      </c>
      <c r="I150" s="105"/>
      <c r="J150" s="108">
        <v>43784</v>
      </c>
      <c r="K150" s="108" t="str">
        <f t="shared" si="229"/>
        <v>NV10943784VàoSáng</v>
      </c>
      <c r="L150" s="102" t="str">
        <f>IFERROR(VLOOKUP(K150,'1. Vân tay'!$F:$G,2,0),0)</f>
        <v>07:48:52</v>
      </c>
      <c r="M150" s="108" t="str">
        <f t="shared" si="230"/>
        <v>NV10943784RaSáng</v>
      </c>
      <c r="N150" s="102">
        <f>IFERROR(VLOOKUP(M150,'1. Vân tay'!$F:$G,2,0),0)</f>
        <v>0</v>
      </c>
      <c r="O150" s="108" t="str">
        <f t="shared" si="231"/>
        <v>NV10943784VàoChiều</v>
      </c>
      <c r="P150" s="102">
        <f>IFERROR(VLOOKUP(O150,'1. Vân tay'!$F:$G,2,0),0)</f>
        <v>0</v>
      </c>
      <c r="Q150" s="108" t="str">
        <f t="shared" si="232"/>
        <v>NV10943784RaChiều</v>
      </c>
      <c r="R150" s="102" t="str">
        <f>IFERROR(VLOOKUP(Q150,'1. Vân tay'!$F:$G,2,0),0)</f>
        <v>17:38:13</v>
      </c>
      <c r="S150" s="102">
        <f t="shared" si="233"/>
        <v>0</v>
      </c>
      <c r="T150" s="109">
        <v>0.33333333333333331</v>
      </c>
      <c r="U150" s="109">
        <v>0.5</v>
      </c>
      <c r="V150" s="109">
        <v>0.5625</v>
      </c>
      <c r="W150" s="109">
        <v>0.72916666666666663</v>
      </c>
      <c r="X150" s="102">
        <f>HDSD!$F$4</f>
        <v>5</v>
      </c>
      <c r="Y150" s="102">
        <f>SUMIFS('2. Đi muộn về sớm'!$K:$K,
'2. Đi muộn về sớm'!$B:$B,$A150,
'2. Đi muộn về sớm'!$D:$D,$J150)</f>
        <v>0</v>
      </c>
      <c r="Z150" s="110">
        <f t="shared" si="234"/>
        <v>0</v>
      </c>
      <c r="AA150" s="110">
        <f t="shared" si="235"/>
        <v>0</v>
      </c>
      <c r="AB150" s="111">
        <f t="shared" si="236"/>
        <v>0</v>
      </c>
      <c r="AC150" s="112">
        <f t="shared" si="201"/>
        <v>0</v>
      </c>
      <c r="AD150" s="113">
        <f t="shared" si="202"/>
        <v>0</v>
      </c>
      <c r="AE150" s="111">
        <f t="shared" si="237"/>
        <v>0</v>
      </c>
      <c r="AF150" s="113">
        <f t="shared" si="203"/>
        <v>0</v>
      </c>
      <c r="AG150" s="113">
        <f t="shared" si="204"/>
        <v>0</v>
      </c>
      <c r="AH150" s="114">
        <f t="shared" si="148"/>
        <v>9.8224999999999998</v>
      </c>
      <c r="AI150" s="102" t="str">
        <f t="shared" si="205"/>
        <v>X:8</v>
      </c>
      <c r="AJ150" s="102" t="str">
        <f t="shared" si="206"/>
        <v>NV10943784</v>
      </c>
      <c r="AK150" s="102" t="str">
        <f>IF(OR(J150&lt;D150,J150&gt;F150),"",
IFERROR(INDEX('3. Đơn xin nghỉ'!$K:$K,MATCH('4. Tổng hợp dữ liệu'!AJ150,'3. Đơn xin nghỉ'!$I:$I,0),1),
IF(AND(AU150="Không CC",I150&lt;&gt;1),"Ro:8","")))</f>
        <v/>
      </c>
      <c r="AL150" s="102" t="str">
        <f t="shared" si="207"/>
        <v/>
      </c>
      <c r="AM150" s="102" t="str">
        <f t="shared" si="238"/>
        <v>X:8</v>
      </c>
      <c r="AN150" s="102" t="s">
        <v>92</v>
      </c>
      <c r="AO150" s="102"/>
      <c r="AP150" s="115">
        <f>IFERROR(VLOOKUP(AN150,'Quy đổi công'!A:D,3,0),0)</f>
        <v>1</v>
      </c>
      <c r="AQ150" s="115">
        <f>IFERROR(VLOOKUP(AN150,'Quy đổi công'!A:D,4,0),0)</f>
        <v>0</v>
      </c>
      <c r="AR150" s="115">
        <f t="shared" si="208"/>
        <v>0</v>
      </c>
      <c r="AS150" s="115">
        <f t="shared" si="239"/>
        <v>1</v>
      </c>
      <c r="AT150" s="115">
        <f t="shared" si="240"/>
        <v>0</v>
      </c>
      <c r="AU150" s="102" t="str">
        <f t="shared" si="209"/>
        <v/>
      </c>
      <c r="AV150" s="102" t="str">
        <f t="shared" si="210"/>
        <v/>
      </c>
      <c r="AW150" s="102" t="str">
        <f t="shared" si="211"/>
        <v/>
      </c>
      <c r="AX150" s="102" t="str">
        <f t="shared" si="212"/>
        <v/>
      </c>
      <c r="AY150" s="102" t="str">
        <f t="shared" si="213"/>
        <v/>
      </c>
      <c r="AZ150" s="102"/>
      <c r="BA150" s="102">
        <f>IF(AV150&lt;&gt;0,COUNTIFS($A$7:A150,A150,$AV$7:AV150,"Quên check in"))
+IF(AW150&lt;&gt;0,COUNTIFS($A$7:A150,A150,$AW$7:AW150,"Quên check in"))
+IF(AX150&lt;&gt;0,COUNTIFS($A$7:A150,A150,$AX$7:AX150,"Quên check out"))
+IF(AY150&lt;&gt;0,COUNTIFS($A$7:A150,A150,$AY$7:AY150,"Quên check out"))</f>
        <v>0</v>
      </c>
      <c r="BB150" s="143">
        <f t="shared" si="214"/>
        <v>0</v>
      </c>
    </row>
    <row r="151" spans="1:54" s="83" customFormat="1" ht="14.1" customHeight="1" x14ac:dyDescent="0.3">
      <c r="A151" s="103" t="s">
        <v>8</v>
      </c>
      <c r="B151" s="104" t="s">
        <v>17</v>
      </c>
      <c r="C151" s="105">
        <v>5000000</v>
      </c>
      <c r="D151" s="106">
        <v>43423</v>
      </c>
      <c r="E151" s="107">
        <v>43617</v>
      </c>
      <c r="F151" s="107">
        <v>73415</v>
      </c>
      <c r="G151" s="105">
        <v>26</v>
      </c>
      <c r="H151" s="105">
        <f t="shared" si="228"/>
        <v>6</v>
      </c>
      <c r="I151" s="105"/>
      <c r="J151" s="108">
        <v>43784</v>
      </c>
      <c r="K151" s="108" t="str">
        <f t="shared" si="229"/>
        <v>NV11343784VàoSáng</v>
      </c>
      <c r="L151" s="102" t="str">
        <f>IFERROR(VLOOKUP(K151,'1. Vân tay'!$F:$G,2,0),0)</f>
        <v>07:49:09</v>
      </c>
      <c r="M151" s="108" t="str">
        <f t="shared" si="230"/>
        <v>NV11343784RaSáng</v>
      </c>
      <c r="N151" s="102">
        <f>IFERROR(VLOOKUP(M151,'1. Vân tay'!$F:$G,2,0),0)</f>
        <v>0</v>
      </c>
      <c r="O151" s="108" t="str">
        <f t="shared" si="231"/>
        <v>NV11343784VàoChiều</v>
      </c>
      <c r="P151" s="102">
        <f>IFERROR(VLOOKUP(O151,'1. Vân tay'!$F:$G,2,0),0)</f>
        <v>0</v>
      </c>
      <c r="Q151" s="108" t="str">
        <f t="shared" si="232"/>
        <v>NV11343784RaChiều</v>
      </c>
      <c r="R151" s="102" t="str">
        <f>IFERROR(VLOOKUP(Q151,'1. Vân tay'!$F:$G,2,0),0)</f>
        <v>17:42:07</v>
      </c>
      <c r="S151" s="102">
        <f t="shared" si="233"/>
        <v>0</v>
      </c>
      <c r="T151" s="109">
        <v>0.33333333333333331</v>
      </c>
      <c r="U151" s="109">
        <v>0.5</v>
      </c>
      <c r="V151" s="109">
        <v>0.5625</v>
      </c>
      <c r="W151" s="109">
        <v>0.72916666666666663</v>
      </c>
      <c r="X151" s="102">
        <f>HDSD!$F$4</f>
        <v>5</v>
      </c>
      <c r="Y151" s="102">
        <f>SUMIFS('2. Đi muộn về sớm'!$K:$K,
'2. Đi muộn về sớm'!$B:$B,$A151,
'2. Đi muộn về sớm'!$D:$D,$J151)</f>
        <v>0</v>
      </c>
      <c r="Z151" s="110">
        <f t="shared" si="234"/>
        <v>0</v>
      </c>
      <c r="AA151" s="110">
        <f t="shared" si="235"/>
        <v>0</v>
      </c>
      <c r="AB151" s="111">
        <f t="shared" si="236"/>
        <v>0</v>
      </c>
      <c r="AC151" s="112">
        <f t="shared" si="201"/>
        <v>0</v>
      </c>
      <c r="AD151" s="113">
        <f t="shared" si="202"/>
        <v>0</v>
      </c>
      <c r="AE151" s="111">
        <f t="shared" si="237"/>
        <v>0</v>
      </c>
      <c r="AF151" s="113">
        <f t="shared" si="203"/>
        <v>0</v>
      </c>
      <c r="AG151" s="113">
        <f t="shared" si="204"/>
        <v>0</v>
      </c>
      <c r="AH151" s="114">
        <f t="shared" si="148"/>
        <v>9.882777777777779</v>
      </c>
      <c r="AI151" s="102" t="str">
        <f t="shared" si="205"/>
        <v>X:8</v>
      </c>
      <c r="AJ151" s="102" t="str">
        <f t="shared" si="206"/>
        <v>NV11343784</v>
      </c>
      <c r="AK151" s="102" t="str">
        <f>IF(OR(J151&lt;D151,J151&gt;F151),"",
IFERROR(INDEX('3. Đơn xin nghỉ'!$K:$K,MATCH('4. Tổng hợp dữ liệu'!AJ151,'3. Đơn xin nghỉ'!$I:$I,0),1),
IF(AND(AU151="Không CC",I151&lt;&gt;1),"Ro:8","")))</f>
        <v/>
      </c>
      <c r="AL151" s="102" t="str">
        <f t="shared" si="207"/>
        <v/>
      </c>
      <c r="AM151" s="102" t="str">
        <f t="shared" si="238"/>
        <v>X:8</v>
      </c>
      <c r="AN151" s="102" t="s">
        <v>92</v>
      </c>
      <c r="AO151" s="102"/>
      <c r="AP151" s="115">
        <f>IFERROR(VLOOKUP(AN151,'Quy đổi công'!A:D,3,0),0)</f>
        <v>1</v>
      </c>
      <c r="AQ151" s="115">
        <f>IFERROR(VLOOKUP(AN151,'Quy đổi công'!A:D,4,0),0)</f>
        <v>0</v>
      </c>
      <c r="AR151" s="115">
        <f t="shared" si="208"/>
        <v>0</v>
      </c>
      <c r="AS151" s="115">
        <f t="shared" si="239"/>
        <v>1</v>
      </c>
      <c r="AT151" s="115">
        <f t="shared" si="240"/>
        <v>0</v>
      </c>
      <c r="AU151" s="102" t="str">
        <f t="shared" si="209"/>
        <v/>
      </c>
      <c r="AV151" s="102" t="str">
        <f t="shared" si="210"/>
        <v/>
      </c>
      <c r="AW151" s="102" t="str">
        <f t="shared" si="211"/>
        <v/>
      </c>
      <c r="AX151" s="102" t="str">
        <f t="shared" si="212"/>
        <v/>
      </c>
      <c r="AY151" s="102" t="str">
        <f t="shared" si="213"/>
        <v/>
      </c>
      <c r="AZ151" s="102"/>
      <c r="BA151" s="102">
        <f>IF(AV151&lt;&gt;0,COUNTIFS($A$7:A151,A151,$AV$7:AV151,"Quên check in"))
+IF(AW151&lt;&gt;0,COUNTIFS($A$7:A151,A151,$AW$7:AW151,"Quên check in"))
+IF(AX151&lt;&gt;0,COUNTIFS($A$7:A151,A151,$AX$7:AX151,"Quên check out"))
+IF(AY151&lt;&gt;0,COUNTIFS($A$7:A151,A151,$AY$7:AY151,"Quên check out"))</f>
        <v>1</v>
      </c>
      <c r="BB151" s="143">
        <f t="shared" si="214"/>
        <v>0</v>
      </c>
    </row>
    <row r="152" spans="1:54" s="83" customFormat="1" ht="14.1" customHeight="1" x14ac:dyDescent="0.3">
      <c r="A152" s="103" t="s">
        <v>9</v>
      </c>
      <c r="B152" s="104" t="s">
        <v>18</v>
      </c>
      <c r="C152" s="105">
        <v>4900000</v>
      </c>
      <c r="D152" s="106">
        <v>43437</v>
      </c>
      <c r="E152" s="107">
        <v>43617</v>
      </c>
      <c r="F152" s="107">
        <v>73415</v>
      </c>
      <c r="G152" s="105">
        <v>26</v>
      </c>
      <c r="H152" s="105">
        <f t="shared" si="228"/>
        <v>6</v>
      </c>
      <c r="I152" s="105"/>
      <c r="J152" s="108">
        <v>43784</v>
      </c>
      <c r="K152" s="108" t="str">
        <f t="shared" si="229"/>
        <v>NV11443784VàoSáng</v>
      </c>
      <c r="L152" s="102" t="str">
        <f>IFERROR(VLOOKUP(K152,'1. Vân tay'!$F:$G,2,0),0)</f>
        <v>07:58:11</v>
      </c>
      <c r="M152" s="108" t="str">
        <f t="shared" si="230"/>
        <v>NV11443784RaSáng</v>
      </c>
      <c r="N152" s="102">
        <f>IFERROR(VLOOKUP(M152,'1. Vân tay'!$F:$G,2,0),0)</f>
        <v>0</v>
      </c>
      <c r="O152" s="108" t="str">
        <f t="shared" si="231"/>
        <v>NV11443784VàoChiều</v>
      </c>
      <c r="P152" s="102">
        <f>IFERROR(VLOOKUP(O152,'1. Vân tay'!$F:$G,2,0),0)</f>
        <v>0</v>
      </c>
      <c r="Q152" s="108" t="str">
        <f t="shared" si="232"/>
        <v>NV11443784RaChiều</v>
      </c>
      <c r="R152" s="102" t="str">
        <f>IFERROR(VLOOKUP(Q152,'1. Vân tay'!$F:$G,2,0),0)</f>
        <v>17:34:56</v>
      </c>
      <c r="S152" s="102">
        <f t="shared" si="233"/>
        <v>0</v>
      </c>
      <c r="T152" s="109">
        <v>0.33333333333333331</v>
      </c>
      <c r="U152" s="109">
        <v>0.5</v>
      </c>
      <c r="V152" s="109">
        <v>0.5625</v>
      </c>
      <c r="W152" s="109">
        <v>0.72916666666666663</v>
      </c>
      <c r="X152" s="102">
        <f>HDSD!$F$4</f>
        <v>5</v>
      </c>
      <c r="Y152" s="102">
        <f>SUMIFS('2. Đi muộn về sớm'!$K:$K,
'2. Đi muộn về sớm'!$B:$B,$A152,
'2. Đi muộn về sớm'!$D:$D,$J152)</f>
        <v>0</v>
      </c>
      <c r="Z152" s="110">
        <f t="shared" si="234"/>
        <v>0</v>
      </c>
      <c r="AA152" s="110">
        <f t="shared" si="235"/>
        <v>0</v>
      </c>
      <c r="AB152" s="111">
        <f t="shared" si="236"/>
        <v>0</v>
      </c>
      <c r="AC152" s="112">
        <f t="shared" si="201"/>
        <v>0</v>
      </c>
      <c r="AD152" s="113">
        <f t="shared" si="202"/>
        <v>0</v>
      </c>
      <c r="AE152" s="111">
        <f t="shared" si="237"/>
        <v>0</v>
      </c>
      <c r="AF152" s="113">
        <f t="shared" si="203"/>
        <v>0</v>
      </c>
      <c r="AG152" s="113">
        <f t="shared" si="204"/>
        <v>0</v>
      </c>
      <c r="AH152" s="114">
        <f t="shared" si="148"/>
        <v>9.6124999999999989</v>
      </c>
      <c r="AI152" s="102" t="str">
        <f t="shared" si="205"/>
        <v>X:8</v>
      </c>
      <c r="AJ152" s="102" t="str">
        <f t="shared" si="206"/>
        <v>NV11443784</v>
      </c>
      <c r="AK152" s="102" t="str">
        <f>IF(OR(J152&lt;D152,J152&gt;F152),"",
IFERROR(INDEX('3. Đơn xin nghỉ'!$K:$K,MATCH('4. Tổng hợp dữ liệu'!AJ152,'3. Đơn xin nghỉ'!$I:$I,0),1),
IF(AND(AU152="Không CC",I152&lt;&gt;1),"Ro:8","")))</f>
        <v/>
      </c>
      <c r="AL152" s="102" t="str">
        <f t="shared" si="207"/>
        <v/>
      </c>
      <c r="AM152" s="102" t="str">
        <f t="shared" si="238"/>
        <v>X:8</v>
      </c>
      <c r="AN152" s="102" t="s">
        <v>92</v>
      </c>
      <c r="AO152" s="102"/>
      <c r="AP152" s="115">
        <f>IFERROR(VLOOKUP(AN152,'Quy đổi công'!A:D,3,0),0)</f>
        <v>1</v>
      </c>
      <c r="AQ152" s="115">
        <f>IFERROR(VLOOKUP(AN152,'Quy đổi công'!A:D,4,0),0)</f>
        <v>0</v>
      </c>
      <c r="AR152" s="115">
        <f t="shared" si="208"/>
        <v>0</v>
      </c>
      <c r="AS152" s="115">
        <f t="shared" si="239"/>
        <v>1</v>
      </c>
      <c r="AT152" s="115">
        <f t="shared" si="240"/>
        <v>0</v>
      </c>
      <c r="AU152" s="102" t="str">
        <f t="shared" si="209"/>
        <v/>
      </c>
      <c r="AV152" s="102" t="str">
        <f t="shared" si="210"/>
        <v/>
      </c>
      <c r="AW152" s="102" t="str">
        <f t="shared" si="211"/>
        <v/>
      </c>
      <c r="AX152" s="102" t="str">
        <f t="shared" si="212"/>
        <v/>
      </c>
      <c r="AY152" s="102" t="str">
        <f t="shared" si="213"/>
        <v/>
      </c>
      <c r="AZ152" s="102"/>
      <c r="BA152" s="102">
        <f>IF(AV152&lt;&gt;0,COUNTIFS($A$7:A152,A152,$AV$7:AV152,"Quên check in"))
+IF(AW152&lt;&gt;0,COUNTIFS($A$7:A152,A152,$AW$7:AW152,"Quên check in"))
+IF(AX152&lt;&gt;0,COUNTIFS($A$7:A152,A152,$AX$7:AX152,"Quên check out"))
+IF(AY152&lt;&gt;0,COUNTIFS($A$7:A152,A152,$AY$7:AY152,"Quên check out"))</f>
        <v>1</v>
      </c>
      <c r="BB152" s="143">
        <f t="shared" si="214"/>
        <v>0</v>
      </c>
    </row>
    <row r="153" spans="1:54" s="83" customFormat="1" ht="14.1" customHeight="1" x14ac:dyDescent="0.3">
      <c r="A153" s="103" t="s">
        <v>10</v>
      </c>
      <c r="B153" s="104" t="s">
        <v>19</v>
      </c>
      <c r="C153" s="105">
        <v>5000000</v>
      </c>
      <c r="D153" s="106">
        <v>43445</v>
      </c>
      <c r="E153" s="107">
        <v>43647</v>
      </c>
      <c r="F153" s="107">
        <v>73415</v>
      </c>
      <c r="G153" s="105">
        <v>26</v>
      </c>
      <c r="H153" s="105">
        <f t="shared" si="228"/>
        <v>6</v>
      </c>
      <c r="I153" s="105"/>
      <c r="J153" s="108">
        <v>43784</v>
      </c>
      <c r="K153" s="108" t="str">
        <f t="shared" si="229"/>
        <v>NV11843784VàoSáng</v>
      </c>
      <c r="L153" s="102" t="str">
        <f>IFERROR(VLOOKUP(K153,'1. Vân tay'!$F:$G,2,0),0)</f>
        <v>08:03:41</v>
      </c>
      <c r="M153" s="108" t="str">
        <f t="shared" si="230"/>
        <v>NV11843784RaSáng</v>
      </c>
      <c r="N153" s="102">
        <f>IFERROR(VLOOKUP(M153,'1. Vân tay'!$F:$G,2,0),0)</f>
        <v>0</v>
      </c>
      <c r="O153" s="108" t="str">
        <f t="shared" si="231"/>
        <v>NV11843784VàoChiều</v>
      </c>
      <c r="P153" s="102">
        <f>IFERROR(VLOOKUP(O153,'1. Vân tay'!$F:$G,2,0),0)</f>
        <v>0</v>
      </c>
      <c r="Q153" s="108" t="str">
        <f t="shared" si="232"/>
        <v>NV11843784RaChiều</v>
      </c>
      <c r="R153" s="102" t="str">
        <f>IFERROR(VLOOKUP(Q153,'1. Vân tay'!$F:$G,2,0),0)</f>
        <v>17:35:53</v>
      </c>
      <c r="S153" s="102">
        <f t="shared" si="233"/>
        <v>0</v>
      </c>
      <c r="T153" s="109">
        <v>0.33333333333333331</v>
      </c>
      <c r="U153" s="109">
        <v>0.5</v>
      </c>
      <c r="V153" s="109">
        <v>0.5625</v>
      </c>
      <c r="W153" s="109">
        <v>0.72916666666666663</v>
      </c>
      <c r="X153" s="102">
        <f>HDSD!$F$4</f>
        <v>5</v>
      </c>
      <c r="Y153" s="102">
        <f>SUMIFS('2. Đi muộn về sớm'!$K:$K,
'2. Đi muộn về sớm'!$B:$B,$A153,
'2. Đi muộn về sớm'!$D:$D,$J153)</f>
        <v>0</v>
      </c>
      <c r="Z153" s="110">
        <f t="shared" si="234"/>
        <v>3.6833333333333336</v>
      </c>
      <c r="AA153" s="110">
        <f t="shared" si="235"/>
        <v>0</v>
      </c>
      <c r="AB153" s="111">
        <f t="shared" si="236"/>
        <v>3.6833333333333336</v>
      </c>
      <c r="AC153" s="112">
        <f t="shared" si="201"/>
        <v>0</v>
      </c>
      <c r="AD153" s="113">
        <f t="shared" si="202"/>
        <v>0</v>
      </c>
      <c r="AE153" s="111">
        <f t="shared" si="237"/>
        <v>0</v>
      </c>
      <c r="AF153" s="113">
        <f t="shared" si="203"/>
        <v>0</v>
      </c>
      <c r="AG153" s="113">
        <f t="shared" si="204"/>
        <v>0</v>
      </c>
      <c r="AH153" s="114">
        <f t="shared" ref="AH153:AH216" si="241">IF(AND(AV153="Quên check in",AZ153="Đồng ý"),IFERROR(HOUR(N153-T153+R153-P153)+MINUTE(N153-T153+R153-P153)/60+SECOND(N153-T153+R153-P153)/3600,0),
IF(AND(AW153="Quên check in",AZ153="Đồng ý"),IFERROR(HOUR(N153-L153+R153-V153)+MINUTE(N153-L153+R153-V153)/60+SECOND(N153-L153+R153-V153)/3600,0),
IF(AND(AX153="Quên check out",AZ153="Đồng ý"),IFERROR(HOUR(U153-L153+R153-P153)+MINUTE(U153-L153+R153-P153)/60+SECOND(U153-L153+R153-P153)/3600,0),
IF(AND(AY153="Quên check out",AZ153="Đồng ý"),IFERROR(HOUR(N153-L153+W153-P153)+MINUTE(N153-L153+W153-P153)/60+SECOND(N153-L153+W153-P153)/3600,0),
IF(AND(LEN(AV153&amp;AW153&amp;AX153&amp;AY153)&gt;0,LEN(AV153&amp;AW153&amp;AX153&amp;AY153)&lt;15),4,
IF(LEN(AV153&amp;AW153&amp;AX153&amp;AY153)&gt;15,0,
IFERROR(HOUR(N153-L153+R153-P153)+MINUTE(N153-L153+R153-P153)/60+SECOND(N153-L153+R153-P153)/3600,0)))))))</f>
        <v>9.5366666666666671</v>
      </c>
      <c r="AI153" s="102" t="str">
        <f t="shared" si="205"/>
        <v>X:8</v>
      </c>
      <c r="AJ153" s="102" t="str">
        <f t="shared" si="206"/>
        <v>NV11843784</v>
      </c>
      <c r="AK153" s="102" t="str">
        <f>IF(OR(J153&lt;D153,J153&gt;F153),"",
IFERROR(INDEX('3. Đơn xin nghỉ'!$K:$K,MATCH('4. Tổng hợp dữ liệu'!AJ153,'3. Đơn xin nghỉ'!$I:$I,0),1),
IF(AND(AU153="Không CC",I153&lt;&gt;1),"Ro:8","")))</f>
        <v/>
      </c>
      <c r="AL153" s="102" t="str">
        <f t="shared" si="207"/>
        <v/>
      </c>
      <c r="AM153" s="102" t="str">
        <f t="shared" si="238"/>
        <v>X:8</v>
      </c>
      <c r="AN153" s="102" t="s">
        <v>92</v>
      </c>
      <c r="AO153" s="102"/>
      <c r="AP153" s="115">
        <f>IFERROR(VLOOKUP(AN153,'Quy đổi công'!A:D,3,0),0)</f>
        <v>1</v>
      </c>
      <c r="AQ153" s="115">
        <f>IFERROR(VLOOKUP(AN153,'Quy đổi công'!A:D,4,0),0)</f>
        <v>0</v>
      </c>
      <c r="AR153" s="115">
        <f t="shared" si="208"/>
        <v>0</v>
      </c>
      <c r="AS153" s="115">
        <f t="shared" si="239"/>
        <v>1</v>
      </c>
      <c r="AT153" s="115">
        <f t="shared" si="240"/>
        <v>0</v>
      </c>
      <c r="AU153" s="102" t="str">
        <f t="shared" si="209"/>
        <v/>
      </c>
      <c r="AV153" s="102" t="str">
        <f t="shared" si="210"/>
        <v/>
      </c>
      <c r="AW153" s="102" t="str">
        <f t="shared" si="211"/>
        <v/>
      </c>
      <c r="AX153" s="102" t="str">
        <f t="shared" si="212"/>
        <v/>
      </c>
      <c r="AY153" s="102" t="str">
        <f t="shared" si="213"/>
        <v/>
      </c>
      <c r="AZ153" s="102"/>
      <c r="BA153" s="102">
        <f>IF(AV153&lt;&gt;0,COUNTIFS($A$7:A153,A153,$AV$7:AV153,"Quên check in"))
+IF(AW153&lt;&gt;0,COUNTIFS($A$7:A153,A153,$AW$7:AW153,"Quên check in"))
+IF(AX153&lt;&gt;0,COUNTIFS($A$7:A153,A153,$AX$7:AX153,"Quên check out"))
+IF(AY153&lt;&gt;0,COUNTIFS($A$7:A153,A153,$AY$7:AY153,"Quên check out"))</f>
        <v>0</v>
      </c>
      <c r="BB153" s="143">
        <f t="shared" si="214"/>
        <v>0</v>
      </c>
    </row>
    <row r="154" spans="1:54" s="83" customFormat="1" ht="14.1" customHeight="1" x14ac:dyDescent="0.3">
      <c r="A154" s="103" t="s">
        <v>11</v>
      </c>
      <c r="B154" s="104" t="s">
        <v>20</v>
      </c>
      <c r="C154" s="105">
        <v>4700000</v>
      </c>
      <c r="D154" s="106">
        <v>43467</v>
      </c>
      <c r="E154" s="107">
        <v>43617</v>
      </c>
      <c r="F154" s="107">
        <v>73415</v>
      </c>
      <c r="G154" s="105">
        <v>26</v>
      </c>
      <c r="H154" s="105">
        <f t="shared" si="228"/>
        <v>6</v>
      </c>
      <c r="I154" s="105"/>
      <c r="J154" s="108">
        <v>43784</v>
      </c>
      <c r="K154" s="108" t="str">
        <f t="shared" si="229"/>
        <v>NV12243784VàoSáng</v>
      </c>
      <c r="L154" s="102" t="str">
        <f>IFERROR(VLOOKUP(K154,'1. Vân tay'!$F:$G,2,0),0)</f>
        <v>08:05:07</v>
      </c>
      <c r="M154" s="108" t="str">
        <f t="shared" si="230"/>
        <v>NV12243784RaSáng</v>
      </c>
      <c r="N154" s="102">
        <f>IFERROR(VLOOKUP(M154,'1. Vân tay'!$F:$G,2,0),0)</f>
        <v>0</v>
      </c>
      <c r="O154" s="108" t="str">
        <f t="shared" si="231"/>
        <v>NV12243784VàoChiều</v>
      </c>
      <c r="P154" s="102">
        <f>IFERROR(VLOOKUP(O154,'1. Vân tay'!$F:$G,2,0),0)</f>
        <v>0</v>
      </c>
      <c r="Q154" s="108" t="str">
        <f t="shared" si="232"/>
        <v>NV12243784RaChiều</v>
      </c>
      <c r="R154" s="102" t="str">
        <f>IFERROR(VLOOKUP(Q154,'1. Vân tay'!$F:$G,2,0),0)</f>
        <v>17:42:31</v>
      </c>
      <c r="S154" s="102">
        <f t="shared" si="233"/>
        <v>0</v>
      </c>
      <c r="T154" s="109">
        <v>0.33333333333333331</v>
      </c>
      <c r="U154" s="109">
        <v>0.5</v>
      </c>
      <c r="V154" s="109">
        <v>0.5625</v>
      </c>
      <c r="W154" s="109">
        <v>0.72916666666666663</v>
      </c>
      <c r="X154" s="102">
        <f>HDSD!$F$4</f>
        <v>5</v>
      </c>
      <c r="Y154" s="102">
        <f>SUMIFS('2. Đi muộn về sớm'!$K:$K,
'2. Đi muộn về sớm'!$B:$B,$A154,
'2. Đi muộn về sớm'!$D:$D,$J154)</f>
        <v>0</v>
      </c>
      <c r="Z154" s="110">
        <f t="shared" si="234"/>
        <v>5.1166666666666663</v>
      </c>
      <c r="AA154" s="110">
        <f t="shared" si="235"/>
        <v>0</v>
      </c>
      <c r="AB154" s="111">
        <f t="shared" si="236"/>
        <v>5.1166666666666663</v>
      </c>
      <c r="AC154" s="112">
        <f t="shared" si="201"/>
        <v>0.11666666666666625</v>
      </c>
      <c r="AD154" s="113">
        <f t="shared" si="202"/>
        <v>233.33333333333252</v>
      </c>
      <c r="AE154" s="111">
        <f t="shared" si="237"/>
        <v>0</v>
      </c>
      <c r="AF154" s="113">
        <f t="shared" si="203"/>
        <v>0</v>
      </c>
      <c r="AG154" s="113">
        <f t="shared" si="204"/>
        <v>233.33333333333252</v>
      </c>
      <c r="AH154" s="114">
        <f t="shared" si="241"/>
        <v>9.6233333333333331</v>
      </c>
      <c r="AI154" s="102" t="str">
        <f t="shared" si="205"/>
        <v>X:8</v>
      </c>
      <c r="AJ154" s="102" t="str">
        <f t="shared" si="206"/>
        <v>NV12243784</v>
      </c>
      <c r="AK154" s="102" t="str">
        <f>IF(OR(J154&lt;D154,J154&gt;F154),"",
IFERROR(INDEX('3. Đơn xin nghỉ'!$K:$K,MATCH('4. Tổng hợp dữ liệu'!AJ154,'3. Đơn xin nghỉ'!$I:$I,0),1),
IF(AND(AU154="Không CC",I154&lt;&gt;1),"Ro:8","")))</f>
        <v/>
      </c>
      <c r="AL154" s="102" t="str">
        <f t="shared" si="207"/>
        <v/>
      </c>
      <c r="AM154" s="102" t="str">
        <f t="shared" si="238"/>
        <v>X:8</v>
      </c>
      <c r="AN154" s="102" t="s">
        <v>92</v>
      </c>
      <c r="AO154" s="102"/>
      <c r="AP154" s="115">
        <f>IFERROR(VLOOKUP(AN154,'Quy đổi công'!A:D,3,0),0)</f>
        <v>1</v>
      </c>
      <c r="AQ154" s="115">
        <f>IFERROR(VLOOKUP(AN154,'Quy đổi công'!A:D,4,0),0)</f>
        <v>0</v>
      </c>
      <c r="AR154" s="115">
        <f t="shared" si="208"/>
        <v>0</v>
      </c>
      <c r="AS154" s="115">
        <f t="shared" si="239"/>
        <v>1</v>
      </c>
      <c r="AT154" s="115">
        <f t="shared" si="240"/>
        <v>0</v>
      </c>
      <c r="AU154" s="102" t="str">
        <f t="shared" si="209"/>
        <v/>
      </c>
      <c r="AV154" s="102" t="str">
        <f t="shared" si="210"/>
        <v/>
      </c>
      <c r="AW154" s="102" t="str">
        <f t="shared" si="211"/>
        <v/>
      </c>
      <c r="AX154" s="102" t="str">
        <f t="shared" si="212"/>
        <v/>
      </c>
      <c r="AY154" s="102" t="str">
        <f t="shared" si="213"/>
        <v/>
      </c>
      <c r="AZ154" s="102"/>
      <c r="BA154" s="102">
        <f>IF(AV154&lt;&gt;0,COUNTIFS($A$7:A154,A154,$AV$7:AV154,"Quên check in"))
+IF(AW154&lt;&gt;0,COUNTIFS($A$7:A154,A154,$AW$7:AW154,"Quên check in"))
+IF(AX154&lt;&gt;0,COUNTIFS($A$7:A154,A154,$AX$7:AX154,"Quên check out"))
+IF(AY154&lt;&gt;0,COUNTIFS($A$7:A154,A154,$AY$7:AY154,"Quên check out"))</f>
        <v>1</v>
      </c>
      <c r="BB154" s="143">
        <f t="shared" si="214"/>
        <v>0</v>
      </c>
    </row>
    <row r="155" spans="1:54" s="83" customFormat="1" ht="14.1" customHeight="1" x14ac:dyDescent="0.3">
      <c r="A155" s="103" t="s">
        <v>12</v>
      </c>
      <c r="B155" s="104" t="s">
        <v>21</v>
      </c>
      <c r="C155" s="105">
        <v>5000000</v>
      </c>
      <c r="D155" s="106">
        <v>43482</v>
      </c>
      <c r="E155" s="107">
        <v>43647</v>
      </c>
      <c r="F155" s="107">
        <v>73415</v>
      </c>
      <c r="G155" s="105">
        <v>26</v>
      </c>
      <c r="H155" s="105">
        <f t="shared" si="228"/>
        <v>6</v>
      </c>
      <c r="I155" s="105"/>
      <c r="J155" s="108">
        <v>43784</v>
      </c>
      <c r="K155" s="108" t="str">
        <f t="shared" si="229"/>
        <v>NV12343784VàoSáng</v>
      </c>
      <c r="L155" s="102" t="str">
        <f>IFERROR(VLOOKUP(K155,'1. Vân tay'!$F:$G,2,0),0)</f>
        <v>07:47:16</v>
      </c>
      <c r="M155" s="108" t="str">
        <f t="shared" si="230"/>
        <v>NV12343784RaSáng</v>
      </c>
      <c r="N155" s="102">
        <f>IFERROR(VLOOKUP(M155,'1. Vân tay'!$F:$G,2,0),0)</f>
        <v>0</v>
      </c>
      <c r="O155" s="108" t="str">
        <f t="shared" si="231"/>
        <v>NV12343784VàoChiều</v>
      </c>
      <c r="P155" s="102">
        <f>IFERROR(VLOOKUP(O155,'1. Vân tay'!$F:$G,2,0),0)</f>
        <v>0</v>
      </c>
      <c r="Q155" s="108" t="str">
        <f t="shared" si="232"/>
        <v>NV12343784RaChiều</v>
      </c>
      <c r="R155" s="102" t="str">
        <f>IFERROR(VLOOKUP(Q155,'1. Vân tay'!$F:$G,2,0),0)</f>
        <v>17:40:39</v>
      </c>
      <c r="S155" s="102">
        <f t="shared" si="233"/>
        <v>0</v>
      </c>
      <c r="T155" s="109">
        <v>0.33333333333333331</v>
      </c>
      <c r="U155" s="109">
        <v>0.5</v>
      </c>
      <c r="V155" s="109">
        <v>0.5625</v>
      </c>
      <c r="W155" s="109">
        <v>0.72916666666666663</v>
      </c>
      <c r="X155" s="102">
        <f>HDSD!$F$4</f>
        <v>5</v>
      </c>
      <c r="Y155" s="102">
        <f>SUMIFS('2. Đi muộn về sớm'!$K:$K,
'2. Đi muộn về sớm'!$B:$B,$A155,
'2. Đi muộn về sớm'!$D:$D,$J155)</f>
        <v>0</v>
      </c>
      <c r="Z155" s="110">
        <f t="shared" si="234"/>
        <v>0</v>
      </c>
      <c r="AA155" s="110">
        <f t="shared" si="235"/>
        <v>0</v>
      </c>
      <c r="AB155" s="111">
        <f t="shared" si="236"/>
        <v>0</v>
      </c>
      <c r="AC155" s="112">
        <f t="shared" si="201"/>
        <v>0</v>
      </c>
      <c r="AD155" s="113">
        <f t="shared" si="202"/>
        <v>0</v>
      </c>
      <c r="AE155" s="111">
        <f t="shared" si="237"/>
        <v>0</v>
      </c>
      <c r="AF155" s="113">
        <f t="shared" si="203"/>
        <v>0</v>
      </c>
      <c r="AG155" s="113">
        <f t="shared" si="204"/>
        <v>0</v>
      </c>
      <c r="AH155" s="114">
        <f t="shared" si="241"/>
        <v>9.8897222222222219</v>
      </c>
      <c r="AI155" s="102" t="str">
        <f t="shared" si="205"/>
        <v>X:8</v>
      </c>
      <c r="AJ155" s="102" t="str">
        <f t="shared" si="206"/>
        <v>NV12343784</v>
      </c>
      <c r="AK155" s="102" t="str">
        <f>IF(OR(J155&lt;D155,J155&gt;F155),"",
IFERROR(INDEX('3. Đơn xin nghỉ'!$K:$K,MATCH('4. Tổng hợp dữ liệu'!AJ155,'3. Đơn xin nghỉ'!$I:$I,0),1),
IF(AND(AU155="Không CC",I155&lt;&gt;1),"Ro:8","")))</f>
        <v/>
      </c>
      <c r="AL155" s="102" t="str">
        <f t="shared" si="207"/>
        <v/>
      </c>
      <c r="AM155" s="102" t="str">
        <f t="shared" si="238"/>
        <v>X:8</v>
      </c>
      <c r="AN155" s="102" t="s">
        <v>92</v>
      </c>
      <c r="AO155" s="102"/>
      <c r="AP155" s="115">
        <f>IFERROR(VLOOKUP(AN155,'Quy đổi công'!A:D,3,0),0)</f>
        <v>1</v>
      </c>
      <c r="AQ155" s="115">
        <f>IFERROR(VLOOKUP(AN155,'Quy đổi công'!A:D,4,0),0)</f>
        <v>0</v>
      </c>
      <c r="AR155" s="115">
        <f t="shared" si="208"/>
        <v>0</v>
      </c>
      <c r="AS155" s="115">
        <f t="shared" si="239"/>
        <v>1</v>
      </c>
      <c r="AT155" s="115">
        <f t="shared" si="240"/>
        <v>0</v>
      </c>
      <c r="AU155" s="102" t="str">
        <f t="shared" si="209"/>
        <v/>
      </c>
      <c r="AV155" s="102" t="str">
        <f t="shared" si="210"/>
        <v/>
      </c>
      <c r="AW155" s="102" t="str">
        <f t="shared" si="211"/>
        <v/>
      </c>
      <c r="AX155" s="102" t="str">
        <f t="shared" si="212"/>
        <v/>
      </c>
      <c r="AY155" s="102" t="str">
        <f t="shared" si="213"/>
        <v/>
      </c>
      <c r="AZ155" s="102"/>
      <c r="BA155" s="102">
        <f>IF(AV155&lt;&gt;0,COUNTIFS($A$7:A155,A155,$AV$7:AV155,"Quên check in"))
+IF(AW155&lt;&gt;0,COUNTIFS($A$7:A155,A155,$AW$7:AW155,"Quên check in"))
+IF(AX155&lt;&gt;0,COUNTIFS($A$7:A155,A155,$AX$7:AX155,"Quên check out"))
+IF(AY155&lt;&gt;0,COUNTIFS($A$7:A155,A155,$AY$7:AY155,"Quên check out"))</f>
        <v>0</v>
      </c>
      <c r="BB155" s="143">
        <f t="shared" si="214"/>
        <v>0</v>
      </c>
    </row>
    <row r="156" spans="1:54" s="83" customFormat="1" ht="14.1" customHeight="1" x14ac:dyDescent="0.3">
      <c r="A156" s="103" t="s">
        <v>13</v>
      </c>
      <c r="B156" s="104" t="s">
        <v>22</v>
      </c>
      <c r="C156" s="105">
        <v>4700000</v>
      </c>
      <c r="D156" s="106">
        <v>43531</v>
      </c>
      <c r="E156" s="107">
        <v>43647</v>
      </c>
      <c r="F156" s="107">
        <v>73415</v>
      </c>
      <c r="G156" s="105">
        <v>26</v>
      </c>
      <c r="H156" s="105">
        <f t="shared" si="228"/>
        <v>6</v>
      </c>
      <c r="I156" s="105"/>
      <c r="J156" s="108">
        <v>43784</v>
      </c>
      <c r="K156" s="108" t="str">
        <f t="shared" si="229"/>
        <v>NV12643784VàoSáng</v>
      </c>
      <c r="L156" s="102" t="str">
        <f>IFERROR(VLOOKUP(K156,'1. Vân tay'!$F:$G,2,0),0)</f>
        <v>07:55:29</v>
      </c>
      <c r="M156" s="108" t="str">
        <f t="shared" si="230"/>
        <v>NV12643784RaSáng</v>
      </c>
      <c r="N156" s="102">
        <f>IFERROR(VLOOKUP(M156,'1. Vân tay'!$F:$G,2,0),0)</f>
        <v>0</v>
      </c>
      <c r="O156" s="108" t="str">
        <f t="shared" si="231"/>
        <v>NV12643784VàoChiều</v>
      </c>
      <c r="P156" s="102">
        <f>IFERROR(VLOOKUP(O156,'1. Vân tay'!$F:$G,2,0),0)</f>
        <v>0</v>
      </c>
      <c r="Q156" s="108" t="str">
        <f t="shared" si="232"/>
        <v>NV12643784RaChiều</v>
      </c>
      <c r="R156" s="102" t="str">
        <f>IFERROR(VLOOKUP(Q156,'1. Vân tay'!$F:$G,2,0),0)</f>
        <v>17:37:04</v>
      </c>
      <c r="S156" s="102">
        <f t="shared" si="233"/>
        <v>0</v>
      </c>
      <c r="T156" s="109">
        <v>0.33333333333333331</v>
      </c>
      <c r="U156" s="109">
        <v>0.5</v>
      </c>
      <c r="V156" s="109">
        <v>0.5625</v>
      </c>
      <c r="W156" s="109">
        <v>0.72916666666666663</v>
      </c>
      <c r="X156" s="102">
        <f>HDSD!$F$4</f>
        <v>5</v>
      </c>
      <c r="Y156" s="102">
        <f>SUMIFS('2. Đi muộn về sớm'!$K:$K,
'2. Đi muộn về sớm'!$B:$B,$A156,
'2. Đi muộn về sớm'!$D:$D,$J156)</f>
        <v>0</v>
      </c>
      <c r="Z156" s="110">
        <f t="shared" si="234"/>
        <v>0</v>
      </c>
      <c r="AA156" s="110">
        <f t="shared" si="235"/>
        <v>0</v>
      </c>
      <c r="AB156" s="111">
        <f t="shared" si="236"/>
        <v>0</v>
      </c>
      <c r="AC156" s="112">
        <f t="shared" si="201"/>
        <v>0</v>
      </c>
      <c r="AD156" s="113">
        <f t="shared" si="202"/>
        <v>0</v>
      </c>
      <c r="AE156" s="111">
        <f t="shared" si="237"/>
        <v>0</v>
      </c>
      <c r="AF156" s="113">
        <f t="shared" si="203"/>
        <v>0</v>
      </c>
      <c r="AG156" s="113">
        <f t="shared" si="204"/>
        <v>0</v>
      </c>
      <c r="AH156" s="114">
        <f t="shared" si="241"/>
        <v>9.6930555555555564</v>
      </c>
      <c r="AI156" s="102" t="str">
        <f t="shared" si="205"/>
        <v>X:8</v>
      </c>
      <c r="AJ156" s="102" t="str">
        <f t="shared" si="206"/>
        <v>NV12643784</v>
      </c>
      <c r="AK156" s="102" t="str">
        <f>IF(OR(J156&lt;D156,J156&gt;F156),"",
IFERROR(INDEX('3. Đơn xin nghỉ'!$K:$K,MATCH('4. Tổng hợp dữ liệu'!AJ156,'3. Đơn xin nghỉ'!$I:$I,0),1),
IF(AND(AU156="Không CC",I156&lt;&gt;1),"Ro:8","")))</f>
        <v/>
      </c>
      <c r="AL156" s="102" t="str">
        <f t="shared" si="207"/>
        <v/>
      </c>
      <c r="AM156" s="102" t="str">
        <f t="shared" si="238"/>
        <v>X:8</v>
      </c>
      <c r="AN156" s="102" t="s">
        <v>92</v>
      </c>
      <c r="AO156" s="102"/>
      <c r="AP156" s="115">
        <f>IFERROR(VLOOKUP(AN156,'Quy đổi công'!A:D,3,0),0)</f>
        <v>1</v>
      </c>
      <c r="AQ156" s="115">
        <f>IFERROR(VLOOKUP(AN156,'Quy đổi công'!A:D,4,0),0)</f>
        <v>0</v>
      </c>
      <c r="AR156" s="115">
        <f t="shared" si="208"/>
        <v>0</v>
      </c>
      <c r="AS156" s="115">
        <f t="shared" si="239"/>
        <v>1</v>
      </c>
      <c r="AT156" s="115">
        <f t="shared" si="240"/>
        <v>0</v>
      </c>
      <c r="AU156" s="102" t="str">
        <f t="shared" si="209"/>
        <v/>
      </c>
      <c r="AV156" s="102" t="str">
        <f t="shared" si="210"/>
        <v/>
      </c>
      <c r="AW156" s="102" t="str">
        <f t="shared" si="211"/>
        <v/>
      </c>
      <c r="AX156" s="102" t="str">
        <f t="shared" si="212"/>
        <v/>
      </c>
      <c r="AY156" s="102" t="str">
        <f t="shared" si="213"/>
        <v/>
      </c>
      <c r="AZ156" s="102"/>
      <c r="BA156" s="102">
        <f>IF(AV156&lt;&gt;0,COUNTIFS($A$7:A156,A156,$AV$7:AV156,"Quên check in"))
+IF(AW156&lt;&gt;0,COUNTIFS($A$7:A156,A156,$AW$7:AW156,"Quên check in"))
+IF(AX156&lt;&gt;0,COUNTIFS($A$7:A156,A156,$AX$7:AX156,"Quên check out"))
+IF(AY156&lt;&gt;0,COUNTIFS($A$7:A156,A156,$AY$7:AY156,"Quên check out"))</f>
        <v>0</v>
      </c>
      <c r="BB156" s="143">
        <f t="shared" si="214"/>
        <v>0</v>
      </c>
    </row>
    <row r="157" spans="1:54" s="83" customFormat="1" ht="14.1" customHeight="1" x14ac:dyDescent="0.3">
      <c r="A157" s="103" t="s">
        <v>4</v>
      </c>
      <c r="B157" s="104" t="s">
        <v>14</v>
      </c>
      <c r="C157" s="105">
        <v>4700000</v>
      </c>
      <c r="D157" s="106">
        <v>43388</v>
      </c>
      <c r="E157" s="107">
        <v>43525</v>
      </c>
      <c r="F157" s="107">
        <v>73415</v>
      </c>
      <c r="G157" s="105">
        <v>26</v>
      </c>
      <c r="H157" s="105">
        <f t="shared" ref="H157:H166" si="242">WEEKDAY(J157,1)</f>
        <v>7</v>
      </c>
      <c r="I157" s="105"/>
      <c r="J157" s="108">
        <v>43785</v>
      </c>
      <c r="K157" s="108" t="str">
        <f t="shared" ref="K157:K166" si="243">$A157&amp;$J157&amp;"Vào"&amp;"Sáng"</f>
        <v>NV10143785VàoSáng</v>
      </c>
      <c r="L157" s="102">
        <f>IFERROR(VLOOKUP(K157,'1. Vân tay'!$F:$G,2,0),0)</f>
        <v>0</v>
      </c>
      <c r="M157" s="108" t="str">
        <f t="shared" ref="M157:M166" si="244">$A157&amp;$J157&amp;"Ra"&amp;"Sáng"</f>
        <v>NV10143785RaSáng</v>
      </c>
      <c r="N157" s="102">
        <f>IFERROR(VLOOKUP(M157,'1. Vân tay'!$F:$G,2,0),0)</f>
        <v>0</v>
      </c>
      <c r="O157" s="108" t="str">
        <f t="shared" ref="O157:O166" si="245">$A157&amp;$J157&amp;"Vào"&amp;"Chiều"</f>
        <v>NV10143785VàoChiều</v>
      </c>
      <c r="P157" s="102">
        <f>IFERROR(VLOOKUP(O157,'1. Vân tay'!$F:$G,2,0),0)</f>
        <v>0</v>
      </c>
      <c r="Q157" s="108" t="str">
        <f t="shared" ref="Q157:Q166" si="246">$A157&amp;$J157&amp;"Ra"&amp;"Chiều"</f>
        <v>NV10143785RaChiều</v>
      </c>
      <c r="R157" s="102">
        <f>IFERROR(VLOOKUP(Q157,'1. Vân tay'!$F:$G,2,0),0)</f>
        <v>0</v>
      </c>
      <c r="S157" s="102">
        <f t="shared" ref="S157:S166" si="247">IF(OR(
(AND(L157&lt;&gt;0,P157&lt;&gt;0)),
(AND(N157&lt;&gt;0,R157&lt;&gt;0))),"Kiểm tra",0)</f>
        <v>0</v>
      </c>
      <c r="T157" s="109">
        <v>0.33333333333333331</v>
      </c>
      <c r="U157" s="109">
        <v>0.5</v>
      </c>
      <c r="V157" s="109">
        <v>0.5625</v>
      </c>
      <c r="W157" s="109">
        <v>0.72916666666666663</v>
      </c>
      <c r="X157" s="102">
        <f>HDSD!$F$4</f>
        <v>5</v>
      </c>
      <c r="Y157" s="102">
        <f>SUMIFS('2. Đi muộn về sớm'!$K:$K,
'2. Đi muộn về sớm'!$B:$B,$A157,
'2. Đi muộn về sớm'!$D:$D,$J157)</f>
        <v>0</v>
      </c>
      <c r="Z157" s="110">
        <f t="shared" ref="Z157:Z166" si="248">IF(L157=0,0,IFERROR((HOUR(L157-T157)*60+MINUTE(L157-T157)+SECOND(L157-T157)/60),0))
+IF(N157=0,0, IFERROR((HOUR(U157-N157)*60+MINUTE(U157-N157)+SECOND(U157-N157)/60),0))
+IF(P157=0,0, IFERROR((HOUR(P157-V157)*60+MINUTE(P157-V157)+SECOND(P157-V157)/60),0))
+IF(R157=0,0, IFERROR((HOUR(W157-R157)*60+MINUTE(W157-R157)+SECOND(W157-R157)/60),0))</f>
        <v>0</v>
      </c>
      <c r="AA157" s="110">
        <f t="shared" ref="AA157:AA166" si="249">IF(L157=0,0,IFERROR((HOUR(L157-"09:00:00")*60+MINUTE(L157-"09:00:00")+SECOND(L157-"09:00:00")/60),0))
+IF(N157=0,0, IFERROR((HOUR(U157-N157)*60+MINUTE(U157-N157)+SECOND(U157-N157)/60),0))
+IF(P157=0,0, IFERROR((HOUR(P157-V157)*60+MINUTE(P157-V157)+SECOND(P157-V157)/60),0))
+IF(R157=0,0, IFERROR((HOUR("16:30:00"-R157)*60+MINUTE("16:30:00"-R157)+SECOND("16:30:00"-R157)/60),0))</f>
        <v>0</v>
      </c>
      <c r="AB157" s="111">
        <f t="shared" ref="AB157:AB166" si="250">Z157-AA157</f>
        <v>0</v>
      </c>
      <c r="AC157" s="112">
        <f t="shared" si="201"/>
        <v>0</v>
      </c>
      <c r="AD157" s="113">
        <f t="shared" si="202"/>
        <v>0</v>
      </c>
      <c r="AE157" s="111">
        <f t="shared" ref="AE157:AE166" si="251">AA157/60/8</f>
        <v>0</v>
      </c>
      <c r="AF157" s="113">
        <f t="shared" si="203"/>
        <v>0</v>
      </c>
      <c r="AG157" s="113">
        <f t="shared" si="204"/>
        <v>0</v>
      </c>
      <c r="AH157" s="114">
        <f t="shared" si="241"/>
        <v>0</v>
      </c>
      <c r="AI157" s="102" t="str">
        <f t="shared" si="205"/>
        <v/>
      </c>
      <c r="AJ157" s="102" t="str">
        <f t="shared" si="206"/>
        <v>NV10143785</v>
      </c>
      <c r="AK157" s="102" t="str">
        <f>IF(OR(J157&lt;D157,J157&gt;F157),"",
IFERROR(INDEX('3. Đơn xin nghỉ'!$K:$K,MATCH('4. Tổng hợp dữ liệu'!AJ157,'3. Đơn xin nghỉ'!$I:$I,0),1),
IF(AND(AU157="Không CC",I157&lt;&gt;1),"Ro:8","")))</f>
        <v>P:8</v>
      </c>
      <c r="AL157" s="102" t="str">
        <f t="shared" si="207"/>
        <v/>
      </c>
      <c r="AM157" s="102" t="str">
        <f t="shared" ref="AM157:AM166" si="252">IF(OR(AI157="",AK157=""),AI157&amp;AK157,AI157&amp;","&amp;AK157)&amp;AL157</f>
        <v>P:8</v>
      </c>
      <c r="AN157" s="102" t="s">
        <v>82</v>
      </c>
      <c r="AO157" s="102"/>
      <c r="AP157" s="115">
        <f>IFERROR(VLOOKUP(AN157,'Quy đổi công'!A:D,3,0),0)</f>
        <v>1</v>
      </c>
      <c r="AQ157" s="115">
        <f>IFERROR(VLOOKUP(AN157,'Quy đổi công'!A:D,4,0),0)</f>
        <v>0</v>
      </c>
      <c r="AR157" s="115">
        <f t="shared" si="208"/>
        <v>0</v>
      </c>
      <c r="AS157" s="115">
        <f t="shared" ref="AS157:AS166" si="253">AP157-AR157</f>
        <v>1</v>
      </c>
      <c r="AT157" s="115">
        <f t="shared" ref="AT157:AT166" si="254">IF(AN157="P8",1)
+IF(OR(AN157="X:4,P:4",AN157="P:4,Rv:4",AN157="P:4,Ro:4"),1/2)</f>
        <v>0</v>
      </c>
      <c r="AU157" s="102" t="str">
        <f t="shared" si="209"/>
        <v>Không CC</v>
      </c>
      <c r="AV157" s="102" t="str">
        <f t="shared" si="210"/>
        <v/>
      </c>
      <c r="AW157" s="102" t="str">
        <f t="shared" si="211"/>
        <v/>
      </c>
      <c r="AX157" s="102" t="str">
        <f t="shared" si="212"/>
        <v/>
      </c>
      <c r="AY157" s="102" t="str">
        <f t="shared" si="213"/>
        <v/>
      </c>
      <c r="AZ157" s="102"/>
      <c r="BA157" s="102">
        <f>IF(AV157&lt;&gt;0,COUNTIFS($A$7:A157,A157,$AV$7:AV157,"Quên check in"))
+IF(AW157&lt;&gt;0,COUNTIFS($A$7:A157,A157,$AW$7:AW157,"Quên check in"))
+IF(AX157&lt;&gt;0,COUNTIFS($A$7:A157,A157,$AX$7:AX157,"Quên check out"))
+IF(AY157&lt;&gt;0,COUNTIFS($A$7:A157,A157,$AY$7:AY157,"Quên check out"))</f>
        <v>0</v>
      </c>
      <c r="BB157" s="143">
        <f t="shared" si="214"/>
        <v>0</v>
      </c>
    </row>
    <row r="158" spans="1:54" s="83" customFormat="1" ht="14.1" customHeight="1" x14ac:dyDescent="0.3">
      <c r="A158" s="103" t="s">
        <v>5</v>
      </c>
      <c r="B158" s="104" t="s">
        <v>28</v>
      </c>
      <c r="C158" s="105">
        <v>10000000</v>
      </c>
      <c r="D158" s="106">
        <v>43409</v>
      </c>
      <c r="E158" s="107">
        <v>43678</v>
      </c>
      <c r="F158" s="107">
        <v>73415</v>
      </c>
      <c r="G158" s="105">
        <v>26</v>
      </c>
      <c r="H158" s="105">
        <f t="shared" si="242"/>
        <v>7</v>
      </c>
      <c r="I158" s="105"/>
      <c r="J158" s="108">
        <v>43785</v>
      </c>
      <c r="K158" s="108" t="str">
        <f t="shared" si="243"/>
        <v>NV10743785VàoSáng</v>
      </c>
      <c r="L158" s="102" t="str">
        <f>IFERROR(VLOOKUP(K158,'1. Vân tay'!$F:$G,2,0),0)</f>
        <v>08:11:42</v>
      </c>
      <c r="M158" s="108" t="str">
        <f t="shared" si="244"/>
        <v>NV10743785RaSáng</v>
      </c>
      <c r="N158" s="102">
        <f>IFERROR(VLOOKUP(M158,'1. Vân tay'!$F:$G,2,0),0)</f>
        <v>0</v>
      </c>
      <c r="O158" s="108" t="str">
        <f t="shared" si="245"/>
        <v>NV10743785VàoChiều</v>
      </c>
      <c r="P158" s="102">
        <f>IFERROR(VLOOKUP(O158,'1. Vân tay'!$F:$G,2,0),0)</f>
        <v>0</v>
      </c>
      <c r="Q158" s="108" t="str">
        <f t="shared" si="246"/>
        <v>NV10743785RaChiều</v>
      </c>
      <c r="R158" s="102" t="str">
        <f>IFERROR(VLOOKUP(Q158,'1. Vân tay'!$F:$G,2,0),0)</f>
        <v>17:46:36</v>
      </c>
      <c r="S158" s="102">
        <f t="shared" si="247"/>
        <v>0</v>
      </c>
      <c r="T158" s="109">
        <v>0.33333333333333331</v>
      </c>
      <c r="U158" s="109">
        <v>0.5</v>
      </c>
      <c r="V158" s="109">
        <v>0.5625</v>
      </c>
      <c r="W158" s="109">
        <v>0.72916666666666663</v>
      </c>
      <c r="X158" s="102">
        <f>HDSD!$F$4</f>
        <v>5</v>
      </c>
      <c r="Y158" s="102">
        <f>SUMIFS('2. Đi muộn về sớm'!$K:$K,
'2. Đi muộn về sớm'!$B:$B,$A158,
'2. Đi muộn về sớm'!$D:$D,$J158)</f>
        <v>0</v>
      </c>
      <c r="Z158" s="110">
        <f t="shared" si="248"/>
        <v>11.7</v>
      </c>
      <c r="AA158" s="110">
        <f t="shared" si="249"/>
        <v>0</v>
      </c>
      <c r="AB158" s="111">
        <f t="shared" si="250"/>
        <v>11.7</v>
      </c>
      <c r="AC158" s="112">
        <f t="shared" si="201"/>
        <v>6.6999999999999993</v>
      </c>
      <c r="AD158" s="113">
        <f t="shared" si="202"/>
        <v>13399.999999999998</v>
      </c>
      <c r="AE158" s="111">
        <f t="shared" si="251"/>
        <v>0</v>
      </c>
      <c r="AF158" s="113">
        <f t="shared" si="203"/>
        <v>0</v>
      </c>
      <c r="AG158" s="113">
        <f t="shared" si="204"/>
        <v>13399.999999999998</v>
      </c>
      <c r="AH158" s="114">
        <f t="shared" si="241"/>
        <v>9.581666666666667</v>
      </c>
      <c r="AI158" s="102" t="str">
        <f t="shared" si="205"/>
        <v>X:8</v>
      </c>
      <c r="AJ158" s="102" t="str">
        <f t="shared" si="206"/>
        <v>NV10743785</v>
      </c>
      <c r="AK158" s="102" t="str">
        <f>IF(OR(J158&lt;D158,J158&gt;F158),"",
IFERROR(INDEX('3. Đơn xin nghỉ'!$K:$K,MATCH('4. Tổng hợp dữ liệu'!AJ158,'3. Đơn xin nghỉ'!$I:$I,0),1),
IF(AND(AU158="Không CC",I158&lt;&gt;1),"Ro:8","")))</f>
        <v/>
      </c>
      <c r="AL158" s="102" t="str">
        <f t="shared" si="207"/>
        <v/>
      </c>
      <c r="AM158" s="102" t="str">
        <f t="shared" si="252"/>
        <v>X:8</v>
      </c>
      <c r="AN158" s="102" t="s">
        <v>92</v>
      </c>
      <c r="AO158" s="102"/>
      <c r="AP158" s="115">
        <f>IFERROR(VLOOKUP(AN158,'Quy đổi công'!A:D,3,0),0)</f>
        <v>1</v>
      </c>
      <c r="AQ158" s="115">
        <f>IFERROR(VLOOKUP(AN158,'Quy đổi công'!A:D,4,0),0)</f>
        <v>0</v>
      </c>
      <c r="AR158" s="115">
        <f t="shared" si="208"/>
        <v>0</v>
      </c>
      <c r="AS158" s="115">
        <f t="shared" si="253"/>
        <v>1</v>
      </c>
      <c r="AT158" s="115">
        <f t="shared" si="254"/>
        <v>0</v>
      </c>
      <c r="AU158" s="102" t="str">
        <f t="shared" si="209"/>
        <v/>
      </c>
      <c r="AV158" s="102" t="str">
        <f t="shared" si="210"/>
        <v/>
      </c>
      <c r="AW158" s="102" t="str">
        <f t="shared" si="211"/>
        <v/>
      </c>
      <c r="AX158" s="102" t="str">
        <f t="shared" si="212"/>
        <v/>
      </c>
      <c r="AY158" s="102" t="str">
        <f t="shared" si="213"/>
        <v/>
      </c>
      <c r="AZ158" s="102"/>
      <c r="BA158" s="102">
        <f>IF(AV158&lt;&gt;0,COUNTIFS($A$7:A158,A158,$AV$7:AV158,"Quên check in"))
+IF(AW158&lt;&gt;0,COUNTIFS($A$7:A158,A158,$AW$7:AW158,"Quên check in"))
+IF(AX158&lt;&gt;0,COUNTIFS($A$7:A158,A158,$AX$7:AX158,"Quên check out"))
+IF(AY158&lt;&gt;0,COUNTIFS($A$7:A158,A158,$AY$7:AY158,"Quên check out"))</f>
        <v>2</v>
      </c>
      <c r="BB158" s="143">
        <f t="shared" si="214"/>
        <v>0</v>
      </c>
    </row>
    <row r="159" spans="1:54" s="83" customFormat="1" ht="14.1" customHeight="1" x14ac:dyDescent="0.3">
      <c r="A159" s="103" t="s">
        <v>6</v>
      </c>
      <c r="B159" s="104" t="s">
        <v>15</v>
      </c>
      <c r="C159" s="105">
        <v>4700000</v>
      </c>
      <c r="D159" s="106">
        <v>43409</v>
      </c>
      <c r="E159" s="107">
        <v>43617</v>
      </c>
      <c r="F159" s="107">
        <v>73415</v>
      </c>
      <c r="G159" s="105">
        <v>26</v>
      </c>
      <c r="H159" s="105">
        <f t="shared" si="242"/>
        <v>7</v>
      </c>
      <c r="I159" s="105"/>
      <c r="J159" s="108">
        <v>43785</v>
      </c>
      <c r="K159" s="108" t="str">
        <f t="shared" si="243"/>
        <v>NV10843785VàoSáng</v>
      </c>
      <c r="L159" s="102" t="str">
        <f>IFERROR(VLOOKUP(K159,'1. Vân tay'!$F:$G,2,0),0)</f>
        <v>08:17:30</v>
      </c>
      <c r="M159" s="108" t="str">
        <f t="shared" si="244"/>
        <v>NV10843785RaSáng</v>
      </c>
      <c r="N159" s="102" t="str">
        <f>IFERROR(VLOOKUP(M159,'1. Vân tay'!$F:$G,2,0),0)</f>
        <v>15:26:38</v>
      </c>
      <c r="O159" s="108" t="str">
        <f t="shared" si="245"/>
        <v>NV10843785VàoChiều</v>
      </c>
      <c r="P159" s="102">
        <f>IFERROR(VLOOKUP(O159,'1. Vân tay'!$F:$G,2,0),0)</f>
        <v>0</v>
      </c>
      <c r="Q159" s="108" t="str">
        <f t="shared" si="246"/>
        <v>NV10843785RaChiều</v>
      </c>
      <c r="R159" s="102">
        <f>IFERROR(VLOOKUP(Q159,'1. Vân tay'!$F:$G,2,0),0)</f>
        <v>0</v>
      </c>
      <c r="S159" s="102">
        <f t="shared" si="247"/>
        <v>0</v>
      </c>
      <c r="T159" s="109">
        <v>0.33333333333333331</v>
      </c>
      <c r="U159" s="109">
        <v>0.5</v>
      </c>
      <c r="V159" s="109">
        <v>0.5625</v>
      </c>
      <c r="W159" s="109">
        <v>0.72916666666666663</v>
      </c>
      <c r="X159" s="102">
        <f>HDSD!$F$4</f>
        <v>5</v>
      </c>
      <c r="Y159" s="102">
        <f>SUMIFS('2. Đi muộn về sớm'!$K:$K,
'2. Đi muộn về sớm'!$B:$B,$A159,
'2. Đi muộn về sớm'!$D:$D,$J159)</f>
        <v>0</v>
      </c>
      <c r="Z159" s="110">
        <f t="shared" si="248"/>
        <v>17.5</v>
      </c>
      <c r="AA159" s="110">
        <f t="shared" si="249"/>
        <v>0</v>
      </c>
      <c r="AB159" s="111">
        <f t="shared" si="250"/>
        <v>17.5</v>
      </c>
      <c r="AC159" s="112">
        <f t="shared" si="201"/>
        <v>12.5</v>
      </c>
      <c r="AD159" s="113">
        <f t="shared" si="202"/>
        <v>25000</v>
      </c>
      <c r="AE159" s="111">
        <f t="shared" si="251"/>
        <v>0</v>
      </c>
      <c r="AF159" s="113">
        <f t="shared" si="203"/>
        <v>0</v>
      </c>
      <c r="AG159" s="113">
        <f t="shared" si="204"/>
        <v>25000</v>
      </c>
      <c r="AH159" s="114">
        <f t="shared" si="241"/>
        <v>7.1522222222222229</v>
      </c>
      <c r="AI159" s="102" t="str">
        <f t="shared" si="205"/>
        <v>X:8</v>
      </c>
      <c r="AJ159" s="102" t="str">
        <f t="shared" si="206"/>
        <v>NV10843785</v>
      </c>
      <c r="AK159" s="102" t="str">
        <f>IF(OR(J159&lt;D159,J159&gt;F159),"",
IFERROR(INDEX('3. Đơn xin nghỉ'!$K:$K,MATCH('4. Tổng hợp dữ liệu'!AJ159,'3. Đơn xin nghỉ'!$I:$I,0),1),
IF(AND(AU159="Không CC",I159&lt;&gt;1),"Ro:8","")))</f>
        <v/>
      </c>
      <c r="AL159" s="102" t="str">
        <f t="shared" si="207"/>
        <v/>
      </c>
      <c r="AM159" s="102" t="str">
        <f t="shared" si="252"/>
        <v>X:8</v>
      </c>
      <c r="AN159" s="102" t="s">
        <v>92</v>
      </c>
      <c r="AO159" s="102"/>
      <c r="AP159" s="115">
        <f>IFERROR(VLOOKUP(AN159,'Quy đổi công'!A:D,3,0),0)</f>
        <v>1</v>
      </c>
      <c r="AQ159" s="115">
        <f>IFERROR(VLOOKUP(AN159,'Quy đổi công'!A:D,4,0),0)</f>
        <v>0</v>
      </c>
      <c r="AR159" s="115">
        <f t="shared" si="208"/>
        <v>0</v>
      </c>
      <c r="AS159" s="115">
        <f t="shared" si="253"/>
        <v>1</v>
      </c>
      <c r="AT159" s="115">
        <f t="shared" si="254"/>
        <v>0</v>
      </c>
      <c r="AU159" s="102" t="str">
        <f t="shared" si="209"/>
        <v/>
      </c>
      <c r="AV159" s="102" t="str">
        <f t="shared" si="210"/>
        <v/>
      </c>
      <c r="AW159" s="102" t="str">
        <f t="shared" si="211"/>
        <v/>
      </c>
      <c r="AX159" s="102" t="str">
        <f t="shared" si="212"/>
        <v/>
      </c>
      <c r="AY159" s="102" t="str">
        <f t="shared" si="213"/>
        <v/>
      </c>
      <c r="AZ159" s="102"/>
      <c r="BA159" s="102">
        <f>IF(AV159&lt;&gt;0,COUNTIFS($A$7:A159,A159,$AV$7:AV159,"Quên check in"))
+IF(AW159&lt;&gt;0,COUNTIFS($A$7:A159,A159,$AW$7:AW159,"Quên check in"))
+IF(AX159&lt;&gt;0,COUNTIFS($A$7:A159,A159,$AX$7:AX159,"Quên check out"))
+IF(AY159&lt;&gt;0,COUNTIFS($A$7:A159,A159,$AY$7:AY159,"Quên check out"))</f>
        <v>0</v>
      </c>
      <c r="BB159" s="143">
        <f t="shared" si="214"/>
        <v>0</v>
      </c>
    </row>
    <row r="160" spans="1:54" s="83" customFormat="1" ht="14.1" customHeight="1" x14ac:dyDescent="0.3">
      <c r="A160" s="103" t="s">
        <v>7</v>
      </c>
      <c r="B160" s="104" t="s">
        <v>16</v>
      </c>
      <c r="C160" s="105">
        <v>5000000</v>
      </c>
      <c r="D160" s="106">
        <v>43416</v>
      </c>
      <c r="E160" s="107">
        <v>43617</v>
      </c>
      <c r="F160" s="107">
        <v>73415</v>
      </c>
      <c r="G160" s="105">
        <v>26</v>
      </c>
      <c r="H160" s="105">
        <f t="shared" si="242"/>
        <v>7</v>
      </c>
      <c r="I160" s="105"/>
      <c r="J160" s="108">
        <v>43785</v>
      </c>
      <c r="K160" s="108" t="str">
        <f t="shared" si="243"/>
        <v>NV10943785VàoSáng</v>
      </c>
      <c r="L160" s="102" t="str">
        <f>IFERROR(VLOOKUP(K160,'1. Vân tay'!$F:$G,2,0),0)</f>
        <v>07:58:07</v>
      </c>
      <c r="M160" s="108" t="str">
        <f t="shared" si="244"/>
        <v>NV10943785RaSáng</v>
      </c>
      <c r="N160" s="102">
        <f>IFERROR(VLOOKUP(M160,'1. Vân tay'!$F:$G,2,0),0)</f>
        <v>0</v>
      </c>
      <c r="O160" s="108" t="str">
        <f t="shared" si="245"/>
        <v>NV10943785VàoChiều</v>
      </c>
      <c r="P160" s="102">
        <f>IFERROR(VLOOKUP(O160,'1. Vân tay'!$F:$G,2,0),0)</f>
        <v>0</v>
      </c>
      <c r="Q160" s="108" t="str">
        <f t="shared" si="246"/>
        <v>NV10943785RaChiều</v>
      </c>
      <c r="R160" s="102" t="str">
        <f>IFERROR(VLOOKUP(Q160,'1. Vân tay'!$F:$G,2,0),0)</f>
        <v>17:32:34</v>
      </c>
      <c r="S160" s="102">
        <f t="shared" si="247"/>
        <v>0</v>
      </c>
      <c r="T160" s="109">
        <v>0.33333333333333331</v>
      </c>
      <c r="U160" s="109">
        <v>0.5</v>
      </c>
      <c r="V160" s="109">
        <v>0.5625</v>
      </c>
      <c r="W160" s="109">
        <v>0.72916666666666663</v>
      </c>
      <c r="X160" s="102">
        <f>HDSD!$F$4</f>
        <v>5</v>
      </c>
      <c r="Y160" s="102">
        <f>SUMIFS('2. Đi muộn về sớm'!$K:$K,
'2. Đi muộn về sớm'!$B:$B,$A160,
'2. Đi muộn về sớm'!$D:$D,$J160)</f>
        <v>0</v>
      </c>
      <c r="Z160" s="110">
        <f t="shared" si="248"/>
        <v>0</v>
      </c>
      <c r="AA160" s="110">
        <f t="shared" si="249"/>
        <v>0</v>
      </c>
      <c r="AB160" s="111">
        <f t="shared" si="250"/>
        <v>0</v>
      </c>
      <c r="AC160" s="112">
        <f t="shared" si="201"/>
        <v>0</v>
      </c>
      <c r="AD160" s="113">
        <f t="shared" si="202"/>
        <v>0</v>
      </c>
      <c r="AE160" s="111">
        <f t="shared" si="251"/>
        <v>0</v>
      </c>
      <c r="AF160" s="113">
        <f t="shared" si="203"/>
        <v>0</v>
      </c>
      <c r="AG160" s="113">
        <f t="shared" si="204"/>
        <v>0</v>
      </c>
      <c r="AH160" s="114">
        <f t="shared" si="241"/>
        <v>9.5741666666666667</v>
      </c>
      <c r="AI160" s="102" t="str">
        <f t="shared" si="205"/>
        <v>X:8</v>
      </c>
      <c r="AJ160" s="102" t="str">
        <f t="shared" si="206"/>
        <v>NV10943785</v>
      </c>
      <c r="AK160" s="102" t="str">
        <f>IF(OR(J160&lt;D160,J160&gt;F160),"",
IFERROR(INDEX('3. Đơn xin nghỉ'!$K:$K,MATCH('4. Tổng hợp dữ liệu'!AJ160,'3. Đơn xin nghỉ'!$I:$I,0),1),
IF(AND(AU160="Không CC",I160&lt;&gt;1),"Ro:8","")))</f>
        <v/>
      </c>
      <c r="AL160" s="102" t="str">
        <f t="shared" si="207"/>
        <v/>
      </c>
      <c r="AM160" s="102" t="str">
        <f t="shared" si="252"/>
        <v>X:8</v>
      </c>
      <c r="AN160" s="102" t="s">
        <v>92</v>
      </c>
      <c r="AO160" s="102"/>
      <c r="AP160" s="115">
        <f>IFERROR(VLOOKUP(AN160,'Quy đổi công'!A:D,3,0),0)</f>
        <v>1</v>
      </c>
      <c r="AQ160" s="115">
        <f>IFERROR(VLOOKUP(AN160,'Quy đổi công'!A:D,4,0),0)</f>
        <v>0</v>
      </c>
      <c r="AR160" s="115">
        <f t="shared" si="208"/>
        <v>0</v>
      </c>
      <c r="AS160" s="115">
        <f t="shared" si="253"/>
        <v>1</v>
      </c>
      <c r="AT160" s="115">
        <f t="shared" si="254"/>
        <v>0</v>
      </c>
      <c r="AU160" s="102" t="str">
        <f t="shared" si="209"/>
        <v/>
      </c>
      <c r="AV160" s="102" t="str">
        <f t="shared" si="210"/>
        <v/>
      </c>
      <c r="AW160" s="102" t="str">
        <f t="shared" si="211"/>
        <v/>
      </c>
      <c r="AX160" s="102" t="str">
        <f t="shared" si="212"/>
        <v/>
      </c>
      <c r="AY160" s="102" t="str">
        <f t="shared" si="213"/>
        <v/>
      </c>
      <c r="AZ160" s="102"/>
      <c r="BA160" s="102">
        <f>IF(AV160&lt;&gt;0,COUNTIFS($A$7:A160,A160,$AV$7:AV160,"Quên check in"))
+IF(AW160&lt;&gt;0,COUNTIFS($A$7:A160,A160,$AW$7:AW160,"Quên check in"))
+IF(AX160&lt;&gt;0,COUNTIFS($A$7:A160,A160,$AX$7:AX160,"Quên check out"))
+IF(AY160&lt;&gt;0,COUNTIFS($A$7:A160,A160,$AY$7:AY160,"Quên check out"))</f>
        <v>0</v>
      </c>
      <c r="BB160" s="143">
        <f t="shared" si="214"/>
        <v>0</v>
      </c>
    </row>
    <row r="161" spans="1:54" s="83" customFormat="1" ht="14.1" customHeight="1" x14ac:dyDescent="0.3">
      <c r="A161" s="103" t="s">
        <v>8</v>
      </c>
      <c r="B161" s="104" t="s">
        <v>17</v>
      </c>
      <c r="C161" s="105">
        <v>5000000</v>
      </c>
      <c r="D161" s="106">
        <v>43423</v>
      </c>
      <c r="E161" s="107">
        <v>43617</v>
      </c>
      <c r="F161" s="107">
        <v>73415</v>
      </c>
      <c r="G161" s="105">
        <v>26</v>
      </c>
      <c r="H161" s="105">
        <f t="shared" si="242"/>
        <v>7</v>
      </c>
      <c r="I161" s="105"/>
      <c r="J161" s="108">
        <v>43785</v>
      </c>
      <c r="K161" s="108" t="str">
        <f t="shared" si="243"/>
        <v>NV11343785VàoSáng</v>
      </c>
      <c r="L161" s="102" t="str">
        <f>IFERROR(VLOOKUP(K161,'1. Vân tay'!$F:$G,2,0),0)</f>
        <v>07:40:55</v>
      </c>
      <c r="M161" s="108" t="str">
        <f t="shared" si="244"/>
        <v>NV11343785RaSáng</v>
      </c>
      <c r="N161" s="102">
        <f>IFERROR(VLOOKUP(M161,'1. Vân tay'!$F:$G,2,0),0)</f>
        <v>0</v>
      </c>
      <c r="O161" s="108" t="str">
        <f t="shared" si="245"/>
        <v>NV11343785VàoChiều</v>
      </c>
      <c r="P161" s="102">
        <f>IFERROR(VLOOKUP(O161,'1. Vân tay'!$F:$G,2,0),0)</f>
        <v>0</v>
      </c>
      <c r="Q161" s="108" t="str">
        <f t="shared" si="246"/>
        <v>NV11343785RaChiều</v>
      </c>
      <c r="R161" s="102" t="str">
        <f>IFERROR(VLOOKUP(Q161,'1. Vân tay'!$F:$G,2,0),0)</f>
        <v>17:33:59</v>
      </c>
      <c r="S161" s="102">
        <f t="shared" si="247"/>
        <v>0</v>
      </c>
      <c r="T161" s="109">
        <v>0.33333333333333331</v>
      </c>
      <c r="U161" s="109">
        <v>0.5</v>
      </c>
      <c r="V161" s="109">
        <v>0.5625</v>
      </c>
      <c r="W161" s="109">
        <v>0.72916666666666663</v>
      </c>
      <c r="X161" s="102">
        <f>HDSD!$F$4</f>
        <v>5</v>
      </c>
      <c r="Y161" s="102">
        <f>SUMIFS('2. Đi muộn về sớm'!$K:$K,
'2. Đi muộn về sớm'!$B:$B,$A161,
'2. Đi muộn về sớm'!$D:$D,$J161)</f>
        <v>0</v>
      </c>
      <c r="Z161" s="110">
        <f t="shared" si="248"/>
        <v>0</v>
      </c>
      <c r="AA161" s="110">
        <f t="shared" si="249"/>
        <v>0</v>
      </c>
      <c r="AB161" s="111">
        <f t="shared" si="250"/>
        <v>0</v>
      </c>
      <c r="AC161" s="112">
        <f t="shared" si="201"/>
        <v>0</v>
      </c>
      <c r="AD161" s="113">
        <f t="shared" si="202"/>
        <v>0</v>
      </c>
      <c r="AE161" s="111">
        <f t="shared" si="251"/>
        <v>0</v>
      </c>
      <c r="AF161" s="113">
        <f t="shared" si="203"/>
        <v>0</v>
      </c>
      <c r="AG161" s="113">
        <f t="shared" si="204"/>
        <v>0</v>
      </c>
      <c r="AH161" s="114">
        <f t="shared" si="241"/>
        <v>9.8844444444444441</v>
      </c>
      <c r="AI161" s="102" t="str">
        <f t="shared" si="205"/>
        <v>X:8</v>
      </c>
      <c r="AJ161" s="102" t="str">
        <f t="shared" si="206"/>
        <v>NV11343785</v>
      </c>
      <c r="AK161" s="102" t="str">
        <f>IF(OR(J161&lt;D161,J161&gt;F161),"",
IFERROR(INDEX('3. Đơn xin nghỉ'!$K:$K,MATCH('4. Tổng hợp dữ liệu'!AJ161,'3. Đơn xin nghỉ'!$I:$I,0),1),
IF(AND(AU161="Không CC",I161&lt;&gt;1),"Ro:8","")))</f>
        <v/>
      </c>
      <c r="AL161" s="102" t="str">
        <f t="shared" si="207"/>
        <v/>
      </c>
      <c r="AM161" s="102" t="str">
        <f t="shared" si="252"/>
        <v>X:8</v>
      </c>
      <c r="AN161" s="102" t="s">
        <v>92</v>
      </c>
      <c r="AO161" s="102"/>
      <c r="AP161" s="115">
        <f>IFERROR(VLOOKUP(AN161,'Quy đổi công'!A:D,3,0),0)</f>
        <v>1</v>
      </c>
      <c r="AQ161" s="115">
        <f>IFERROR(VLOOKUP(AN161,'Quy đổi công'!A:D,4,0),0)</f>
        <v>0</v>
      </c>
      <c r="AR161" s="115">
        <f t="shared" si="208"/>
        <v>0</v>
      </c>
      <c r="AS161" s="115">
        <f t="shared" si="253"/>
        <v>1</v>
      </c>
      <c r="AT161" s="115">
        <f t="shared" si="254"/>
        <v>0</v>
      </c>
      <c r="AU161" s="102" t="str">
        <f t="shared" si="209"/>
        <v/>
      </c>
      <c r="AV161" s="102" t="str">
        <f t="shared" si="210"/>
        <v/>
      </c>
      <c r="AW161" s="102" t="str">
        <f t="shared" si="211"/>
        <v/>
      </c>
      <c r="AX161" s="102" t="str">
        <f t="shared" si="212"/>
        <v/>
      </c>
      <c r="AY161" s="102" t="str">
        <f t="shared" si="213"/>
        <v/>
      </c>
      <c r="AZ161" s="102"/>
      <c r="BA161" s="102">
        <f>IF(AV161&lt;&gt;0,COUNTIFS($A$7:A161,A161,$AV$7:AV161,"Quên check in"))
+IF(AW161&lt;&gt;0,COUNTIFS($A$7:A161,A161,$AW$7:AW161,"Quên check in"))
+IF(AX161&lt;&gt;0,COUNTIFS($A$7:A161,A161,$AX$7:AX161,"Quên check out"))
+IF(AY161&lt;&gt;0,COUNTIFS($A$7:A161,A161,$AY$7:AY161,"Quên check out"))</f>
        <v>1</v>
      </c>
      <c r="BB161" s="143">
        <f t="shared" si="214"/>
        <v>0</v>
      </c>
    </row>
    <row r="162" spans="1:54" s="83" customFormat="1" ht="14.1" customHeight="1" x14ac:dyDescent="0.3">
      <c r="A162" s="103" t="s">
        <v>9</v>
      </c>
      <c r="B162" s="104" t="s">
        <v>18</v>
      </c>
      <c r="C162" s="105">
        <v>4900000</v>
      </c>
      <c r="D162" s="106">
        <v>43437</v>
      </c>
      <c r="E162" s="107">
        <v>43617</v>
      </c>
      <c r="F162" s="107">
        <v>73415</v>
      </c>
      <c r="G162" s="105">
        <v>26</v>
      </c>
      <c r="H162" s="105">
        <f t="shared" si="242"/>
        <v>7</v>
      </c>
      <c r="I162" s="105"/>
      <c r="J162" s="108">
        <v>43785</v>
      </c>
      <c r="K162" s="108" t="str">
        <f t="shared" si="243"/>
        <v>NV11443785VàoSáng</v>
      </c>
      <c r="L162" s="102" t="str">
        <f>IFERROR(VLOOKUP(K162,'1. Vân tay'!$F:$G,2,0),0)</f>
        <v>08:04:42</v>
      </c>
      <c r="M162" s="108" t="str">
        <f t="shared" si="244"/>
        <v>NV11443785RaSáng</v>
      </c>
      <c r="N162" s="102" t="str">
        <f>IFERROR(VLOOKUP(M162,'1. Vân tay'!$F:$G,2,0),0)</f>
        <v>12:03:11</v>
      </c>
      <c r="O162" s="108" t="str">
        <f t="shared" si="245"/>
        <v>NV11443785VàoChiều</v>
      </c>
      <c r="P162" s="102">
        <f>IFERROR(VLOOKUP(O162,'1. Vân tay'!$F:$G,2,0),0)</f>
        <v>0</v>
      </c>
      <c r="Q162" s="108" t="str">
        <f t="shared" si="246"/>
        <v>NV11443785RaChiều</v>
      </c>
      <c r="R162" s="102">
        <f>IFERROR(VLOOKUP(Q162,'1. Vân tay'!$F:$G,2,0),0)</f>
        <v>0</v>
      </c>
      <c r="S162" s="102">
        <f t="shared" si="247"/>
        <v>0</v>
      </c>
      <c r="T162" s="109">
        <v>0.33333333333333331</v>
      </c>
      <c r="U162" s="109">
        <v>0.5</v>
      </c>
      <c r="V162" s="109">
        <v>0.5625</v>
      </c>
      <c r="W162" s="109">
        <v>0.72916666666666663</v>
      </c>
      <c r="X162" s="102">
        <f>HDSD!$F$4</f>
        <v>5</v>
      </c>
      <c r="Y162" s="102">
        <f>SUMIFS('2. Đi muộn về sớm'!$K:$K,
'2. Đi muộn về sớm'!$B:$B,$A162,
'2. Đi muộn về sớm'!$D:$D,$J162)</f>
        <v>0</v>
      </c>
      <c r="Z162" s="110">
        <f t="shared" si="248"/>
        <v>4.7</v>
      </c>
      <c r="AA162" s="110">
        <f t="shared" si="249"/>
        <v>0</v>
      </c>
      <c r="AB162" s="111">
        <f t="shared" si="250"/>
        <v>4.7</v>
      </c>
      <c r="AC162" s="112">
        <f t="shared" si="201"/>
        <v>0</v>
      </c>
      <c r="AD162" s="113">
        <f t="shared" si="202"/>
        <v>0</v>
      </c>
      <c r="AE162" s="111">
        <f t="shared" si="251"/>
        <v>0</v>
      </c>
      <c r="AF162" s="113">
        <f t="shared" si="203"/>
        <v>0</v>
      </c>
      <c r="AG162" s="113">
        <f t="shared" si="204"/>
        <v>0</v>
      </c>
      <c r="AH162" s="114">
        <f t="shared" si="241"/>
        <v>3.9747222222222223</v>
      </c>
      <c r="AI162" s="102" t="str">
        <f t="shared" si="205"/>
        <v>X:4</v>
      </c>
      <c r="AJ162" s="102" t="str">
        <f t="shared" si="206"/>
        <v>NV11443785</v>
      </c>
      <c r="AK162" s="102" t="str">
        <f>IF(OR(J162&lt;D162,J162&gt;F162),"",
IFERROR(INDEX('3. Đơn xin nghỉ'!$K:$K,MATCH('4. Tổng hợp dữ liệu'!AJ162,'3. Đơn xin nghỉ'!$I:$I,0),1),
IF(AND(AU162="Không CC",I162&lt;&gt;1),"Ro:8","")))</f>
        <v>Ro:4</v>
      </c>
      <c r="AL162" s="102" t="str">
        <f t="shared" si="207"/>
        <v/>
      </c>
      <c r="AM162" s="102" t="str">
        <f t="shared" si="252"/>
        <v>X:4,Ro:4</v>
      </c>
      <c r="AN162" s="102" t="s">
        <v>128</v>
      </c>
      <c r="AO162" s="102"/>
      <c r="AP162" s="115">
        <f>IFERROR(VLOOKUP(AN162,'Quy đổi công'!A:D,3,0),0)</f>
        <v>0.5</v>
      </c>
      <c r="AQ162" s="115">
        <f>IFERROR(VLOOKUP(AN162,'Quy đổi công'!A:D,4,0),0)</f>
        <v>0.5</v>
      </c>
      <c r="AR162" s="115">
        <f t="shared" si="208"/>
        <v>0</v>
      </c>
      <c r="AS162" s="115">
        <f t="shared" si="253"/>
        <v>0.5</v>
      </c>
      <c r="AT162" s="115">
        <f t="shared" si="254"/>
        <v>0</v>
      </c>
      <c r="AU162" s="102" t="str">
        <f t="shared" si="209"/>
        <v/>
      </c>
      <c r="AV162" s="102" t="str">
        <f t="shared" si="210"/>
        <v/>
      </c>
      <c r="AW162" s="102" t="str">
        <f t="shared" si="211"/>
        <v/>
      </c>
      <c r="AX162" s="102" t="str">
        <f t="shared" si="212"/>
        <v/>
      </c>
      <c r="AY162" s="102" t="str">
        <f t="shared" si="213"/>
        <v/>
      </c>
      <c r="AZ162" s="102"/>
      <c r="BA162" s="102">
        <f>IF(AV162&lt;&gt;0,COUNTIFS($A$7:A162,A162,$AV$7:AV162,"Quên check in"))
+IF(AW162&lt;&gt;0,COUNTIFS($A$7:A162,A162,$AW$7:AW162,"Quên check in"))
+IF(AX162&lt;&gt;0,COUNTIFS($A$7:A162,A162,$AX$7:AX162,"Quên check out"))
+IF(AY162&lt;&gt;0,COUNTIFS($A$7:A162,A162,$AY$7:AY162,"Quên check out"))</f>
        <v>1</v>
      </c>
      <c r="BB162" s="143">
        <f t="shared" si="214"/>
        <v>0</v>
      </c>
    </row>
    <row r="163" spans="1:54" s="83" customFormat="1" ht="14.1" customHeight="1" x14ac:dyDescent="0.3">
      <c r="A163" s="103" t="s">
        <v>10</v>
      </c>
      <c r="B163" s="104" t="s">
        <v>19</v>
      </c>
      <c r="C163" s="105">
        <v>5000000</v>
      </c>
      <c r="D163" s="106">
        <v>43445</v>
      </c>
      <c r="E163" s="107">
        <v>43647</v>
      </c>
      <c r="F163" s="107">
        <v>73415</v>
      </c>
      <c r="G163" s="105">
        <v>26</v>
      </c>
      <c r="H163" s="105">
        <f t="shared" si="242"/>
        <v>7</v>
      </c>
      <c r="I163" s="105"/>
      <c r="J163" s="108">
        <v>43785</v>
      </c>
      <c r="K163" s="108" t="str">
        <f t="shared" si="243"/>
        <v>NV11843785VàoSáng</v>
      </c>
      <c r="L163" s="102" t="str">
        <f>IFERROR(VLOOKUP(K163,'1. Vân tay'!$F:$G,2,0),0)</f>
        <v>07:57:52</v>
      </c>
      <c r="M163" s="108" t="str">
        <f t="shared" si="244"/>
        <v>NV11843785RaSáng</v>
      </c>
      <c r="N163" s="102">
        <f>IFERROR(VLOOKUP(M163,'1. Vân tay'!$F:$G,2,0),0)</f>
        <v>0</v>
      </c>
      <c r="O163" s="108" t="str">
        <f t="shared" si="245"/>
        <v>NV11843785VàoChiều</v>
      </c>
      <c r="P163" s="102">
        <f>IFERROR(VLOOKUP(O163,'1. Vân tay'!$F:$G,2,0),0)</f>
        <v>0</v>
      </c>
      <c r="Q163" s="108" t="str">
        <f t="shared" si="246"/>
        <v>NV11843785RaChiều</v>
      </c>
      <c r="R163" s="102" t="str">
        <f>IFERROR(VLOOKUP(Q163,'1. Vân tay'!$F:$G,2,0),0)</f>
        <v>17:31:17</v>
      </c>
      <c r="S163" s="102">
        <f t="shared" si="247"/>
        <v>0</v>
      </c>
      <c r="T163" s="109">
        <v>0.33333333333333331</v>
      </c>
      <c r="U163" s="109">
        <v>0.5</v>
      </c>
      <c r="V163" s="109">
        <v>0.5625</v>
      </c>
      <c r="W163" s="109">
        <v>0.72916666666666663</v>
      </c>
      <c r="X163" s="102">
        <f>HDSD!$F$4</f>
        <v>5</v>
      </c>
      <c r="Y163" s="102">
        <f>SUMIFS('2. Đi muộn về sớm'!$K:$K,
'2. Đi muộn về sớm'!$B:$B,$A163,
'2. Đi muộn về sớm'!$D:$D,$J163)</f>
        <v>0</v>
      </c>
      <c r="Z163" s="110">
        <f t="shared" si="248"/>
        <v>0</v>
      </c>
      <c r="AA163" s="110">
        <f t="shared" si="249"/>
        <v>0</v>
      </c>
      <c r="AB163" s="111">
        <f t="shared" si="250"/>
        <v>0</v>
      </c>
      <c r="AC163" s="112">
        <f t="shared" si="201"/>
        <v>0</v>
      </c>
      <c r="AD163" s="113">
        <f t="shared" si="202"/>
        <v>0</v>
      </c>
      <c r="AE163" s="111">
        <f t="shared" si="251"/>
        <v>0</v>
      </c>
      <c r="AF163" s="113">
        <f t="shared" si="203"/>
        <v>0</v>
      </c>
      <c r="AG163" s="113">
        <f t="shared" si="204"/>
        <v>0</v>
      </c>
      <c r="AH163" s="114">
        <f t="shared" si="241"/>
        <v>9.5569444444444454</v>
      </c>
      <c r="AI163" s="102" t="str">
        <f t="shared" si="205"/>
        <v>X:8</v>
      </c>
      <c r="AJ163" s="102" t="str">
        <f t="shared" si="206"/>
        <v>NV11843785</v>
      </c>
      <c r="AK163" s="102" t="str">
        <f>IF(OR(J163&lt;D163,J163&gt;F163),"",
IFERROR(INDEX('3. Đơn xin nghỉ'!$K:$K,MATCH('4. Tổng hợp dữ liệu'!AJ163,'3. Đơn xin nghỉ'!$I:$I,0),1),
IF(AND(AU163="Không CC",I163&lt;&gt;1),"Ro:8","")))</f>
        <v/>
      </c>
      <c r="AL163" s="102" t="str">
        <f t="shared" si="207"/>
        <v/>
      </c>
      <c r="AM163" s="102" t="str">
        <f t="shared" si="252"/>
        <v>X:8</v>
      </c>
      <c r="AN163" s="102" t="s">
        <v>92</v>
      </c>
      <c r="AO163" s="102"/>
      <c r="AP163" s="115">
        <f>IFERROR(VLOOKUP(AN163,'Quy đổi công'!A:D,3,0),0)</f>
        <v>1</v>
      </c>
      <c r="AQ163" s="115">
        <f>IFERROR(VLOOKUP(AN163,'Quy đổi công'!A:D,4,0),0)</f>
        <v>0</v>
      </c>
      <c r="AR163" s="115">
        <f t="shared" si="208"/>
        <v>0</v>
      </c>
      <c r="AS163" s="115">
        <f t="shared" si="253"/>
        <v>1</v>
      </c>
      <c r="AT163" s="115">
        <f t="shared" si="254"/>
        <v>0</v>
      </c>
      <c r="AU163" s="102" t="str">
        <f t="shared" si="209"/>
        <v/>
      </c>
      <c r="AV163" s="102" t="str">
        <f t="shared" si="210"/>
        <v/>
      </c>
      <c r="AW163" s="102" t="str">
        <f t="shared" si="211"/>
        <v/>
      </c>
      <c r="AX163" s="102" t="str">
        <f t="shared" si="212"/>
        <v/>
      </c>
      <c r="AY163" s="102" t="str">
        <f t="shared" si="213"/>
        <v/>
      </c>
      <c r="AZ163" s="102"/>
      <c r="BA163" s="102">
        <f>IF(AV163&lt;&gt;0,COUNTIFS($A$7:A163,A163,$AV$7:AV163,"Quên check in"))
+IF(AW163&lt;&gt;0,COUNTIFS($A$7:A163,A163,$AW$7:AW163,"Quên check in"))
+IF(AX163&lt;&gt;0,COUNTIFS($A$7:A163,A163,$AX$7:AX163,"Quên check out"))
+IF(AY163&lt;&gt;0,COUNTIFS($A$7:A163,A163,$AY$7:AY163,"Quên check out"))</f>
        <v>0</v>
      </c>
      <c r="BB163" s="143">
        <f t="shared" si="214"/>
        <v>0</v>
      </c>
    </row>
    <row r="164" spans="1:54" s="83" customFormat="1" ht="14.1" customHeight="1" x14ac:dyDescent="0.3">
      <c r="A164" s="103" t="s">
        <v>11</v>
      </c>
      <c r="B164" s="104" t="s">
        <v>20</v>
      </c>
      <c r="C164" s="105">
        <v>4700000</v>
      </c>
      <c r="D164" s="106">
        <v>43467</v>
      </c>
      <c r="E164" s="107">
        <v>43617</v>
      </c>
      <c r="F164" s="107">
        <v>73415</v>
      </c>
      <c r="G164" s="105">
        <v>26</v>
      </c>
      <c r="H164" s="105">
        <f t="shared" si="242"/>
        <v>7</v>
      </c>
      <c r="I164" s="105"/>
      <c r="J164" s="108">
        <v>43785</v>
      </c>
      <c r="K164" s="108" t="str">
        <f t="shared" si="243"/>
        <v>NV12243785VàoSáng</v>
      </c>
      <c r="L164" s="102" t="str">
        <f>IFERROR(VLOOKUP(K164,'1. Vân tay'!$F:$G,2,0),0)</f>
        <v>07:41:09</v>
      </c>
      <c r="M164" s="108" t="str">
        <f t="shared" si="244"/>
        <v>NV12243785RaSáng</v>
      </c>
      <c r="N164" s="102">
        <f>IFERROR(VLOOKUP(M164,'1. Vân tay'!$F:$G,2,0),0)</f>
        <v>0</v>
      </c>
      <c r="O164" s="108" t="str">
        <f t="shared" si="245"/>
        <v>NV12243785VàoChiều</v>
      </c>
      <c r="P164" s="102">
        <f>IFERROR(VLOOKUP(O164,'1. Vân tay'!$F:$G,2,0),0)</f>
        <v>0</v>
      </c>
      <c r="Q164" s="108" t="str">
        <f t="shared" si="246"/>
        <v>NV12243785RaChiều</v>
      </c>
      <c r="R164" s="102" t="str">
        <f>IFERROR(VLOOKUP(Q164,'1. Vân tay'!$F:$G,2,0),0)</f>
        <v>17:35:30</v>
      </c>
      <c r="S164" s="102">
        <f t="shared" si="247"/>
        <v>0</v>
      </c>
      <c r="T164" s="109">
        <v>0.33333333333333331</v>
      </c>
      <c r="U164" s="109">
        <v>0.5</v>
      </c>
      <c r="V164" s="109">
        <v>0.5625</v>
      </c>
      <c r="W164" s="109">
        <v>0.72916666666666663</v>
      </c>
      <c r="X164" s="102">
        <f>HDSD!$F$4</f>
        <v>5</v>
      </c>
      <c r="Y164" s="102">
        <f>SUMIFS('2. Đi muộn về sớm'!$K:$K,
'2. Đi muộn về sớm'!$B:$B,$A164,
'2. Đi muộn về sớm'!$D:$D,$J164)</f>
        <v>0</v>
      </c>
      <c r="Z164" s="110">
        <f t="shared" si="248"/>
        <v>0</v>
      </c>
      <c r="AA164" s="110">
        <f t="shared" si="249"/>
        <v>0</v>
      </c>
      <c r="AB164" s="111">
        <f t="shared" si="250"/>
        <v>0</v>
      </c>
      <c r="AC164" s="112">
        <f t="shared" si="201"/>
        <v>0</v>
      </c>
      <c r="AD164" s="113">
        <f t="shared" si="202"/>
        <v>0</v>
      </c>
      <c r="AE164" s="111">
        <f t="shared" si="251"/>
        <v>0</v>
      </c>
      <c r="AF164" s="113">
        <f t="shared" si="203"/>
        <v>0</v>
      </c>
      <c r="AG164" s="113">
        <f t="shared" si="204"/>
        <v>0</v>
      </c>
      <c r="AH164" s="114">
        <f t="shared" si="241"/>
        <v>9.9058333333333337</v>
      </c>
      <c r="AI164" s="102" t="str">
        <f t="shared" si="205"/>
        <v>X:8</v>
      </c>
      <c r="AJ164" s="102" t="str">
        <f t="shared" si="206"/>
        <v>NV12243785</v>
      </c>
      <c r="AK164" s="102" t="str">
        <f>IF(OR(J164&lt;D164,J164&gt;F164),"",
IFERROR(INDEX('3. Đơn xin nghỉ'!$K:$K,MATCH('4. Tổng hợp dữ liệu'!AJ164,'3. Đơn xin nghỉ'!$I:$I,0),1),
IF(AND(AU164="Không CC",I164&lt;&gt;1),"Ro:8","")))</f>
        <v/>
      </c>
      <c r="AL164" s="102" t="str">
        <f t="shared" si="207"/>
        <v/>
      </c>
      <c r="AM164" s="102" t="str">
        <f t="shared" si="252"/>
        <v>X:8</v>
      </c>
      <c r="AN164" s="102" t="s">
        <v>92</v>
      </c>
      <c r="AO164" s="102"/>
      <c r="AP164" s="115">
        <f>IFERROR(VLOOKUP(AN164,'Quy đổi công'!A:D,3,0),0)</f>
        <v>1</v>
      </c>
      <c r="AQ164" s="115">
        <f>IFERROR(VLOOKUP(AN164,'Quy đổi công'!A:D,4,0),0)</f>
        <v>0</v>
      </c>
      <c r="AR164" s="115">
        <f t="shared" si="208"/>
        <v>0</v>
      </c>
      <c r="AS164" s="115">
        <f t="shared" si="253"/>
        <v>1</v>
      </c>
      <c r="AT164" s="115">
        <f t="shared" si="254"/>
        <v>0</v>
      </c>
      <c r="AU164" s="102" t="str">
        <f t="shared" si="209"/>
        <v/>
      </c>
      <c r="AV164" s="102" t="str">
        <f t="shared" si="210"/>
        <v/>
      </c>
      <c r="AW164" s="102" t="str">
        <f t="shared" si="211"/>
        <v/>
      </c>
      <c r="AX164" s="102" t="str">
        <f t="shared" si="212"/>
        <v/>
      </c>
      <c r="AY164" s="102" t="str">
        <f t="shared" si="213"/>
        <v/>
      </c>
      <c r="AZ164" s="102"/>
      <c r="BA164" s="102">
        <f>IF(AV164&lt;&gt;0,COUNTIFS($A$7:A164,A164,$AV$7:AV164,"Quên check in"))
+IF(AW164&lt;&gt;0,COUNTIFS($A$7:A164,A164,$AW$7:AW164,"Quên check in"))
+IF(AX164&lt;&gt;0,COUNTIFS($A$7:A164,A164,$AX$7:AX164,"Quên check out"))
+IF(AY164&lt;&gt;0,COUNTIFS($A$7:A164,A164,$AY$7:AY164,"Quên check out"))</f>
        <v>1</v>
      </c>
      <c r="BB164" s="143">
        <f t="shared" si="214"/>
        <v>0</v>
      </c>
    </row>
    <row r="165" spans="1:54" s="83" customFormat="1" ht="14.1" customHeight="1" x14ac:dyDescent="0.3">
      <c r="A165" s="103" t="s">
        <v>12</v>
      </c>
      <c r="B165" s="104" t="s">
        <v>21</v>
      </c>
      <c r="C165" s="105">
        <v>5000000</v>
      </c>
      <c r="D165" s="106">
        <v>43482</v>
      </c>
      <c r="E165" s="107">
        <v>43647</v>
      </c>
      <c r="F165" s="107">
        <v>73415</v>
      </c>
      <c r="G165" s="105">
        <v>26</v>
      </c>
      <c r="H165" s="105">
        <f t="shared" si="242"/>
        <v>7</v>
      </c>
      <c r="I165" s="105"/>
      <c r="J165" s="108">
        <v>43785</v>
      </c>
      <c r="K165" s="108" t="str">
        <f t="shared" si="243"/>
        <v>NV12343785VàoSáng</v>
      </c>
      <c r="L165" s="102" t="str">
        <f>IFERROR(VLOOKUP(K165,'1. Vân tay'!$F:$G,2,0),0)</f>
        <v>07:40:37</v>
      </c>
      <c r="M165" s="108" t="str">
        <f t="shared" si="244"/>
        <v>NV12343785RaSáng</v>
      </c>
      <c r="N165" s="102">
        <f>IFERROR(VLOOKUP(M165,'1. Vân tay'!$F:$G,2,0),0)</f>
        <v>0</v>
      </c>
      <c r="O165" s="108" t="str">
        <f t="shared" si="245"/>
        <v>NV12343785VàoChiều</v>
      </c>
      <c r="P165" s="102">
        <f>IFERROR(VLOOKUP(O165,'1. Vân tay'!$F:$G,2,0),0)</f>
        <v>0</v>
      </c>
      <c r="Q165" s="108" t="str">
        <f t="shared" si="246"/>
        <v>NV12343785RaChiều</v>
      </c>
      <c r="R165" s="102" t="str">
        <f>IFERROR(VLOOKUP(Q165,'1. Vân tay'!$F:$G,2,0),0)</f>
        <v>17:38:13</v>
      </c>
      <c r="S165" s="102">
        <f t="shared" si="247"/>
        <v>0</v>
      </c>
      <c r="T165" s="109">
        <v>0.33333333333333331</v>
      </c>
      <c r="U165" s="109">
        <v>0.5</v>
      </c>
      <c r="V165" s="109">
        <v>0.5625</v>
      </c>
      <c r="W165" s="109">
        <v>0.72916666666666663</v>
      </c>
      <c r="X165" s="102">
        <f>HDSD!$F$4</f>
        <v>5</v>
      </c>
      <c r="Y165" s="102">
        <f>SUMIFS('2. Đi muộn về sớm'!$K:$K,
'2. Đi muộn về sớm'!$B:$B,$A165,
'2. Đi muộn về sớm'!$D:$D,$J165)</f>
        <v>0</v>
      </c>
      <c r="Z165" s="110">
        <f t="shared" si="248"/>
        <v>0</v>
      </c>
      <c r="AA165" s="110">
        <f t="shared" si="249"/>
        <v>0</v>
      </c>
      <c r="AB165" s="111">
        <f t="shared" si="250"/>
        <v>0</v>
      </c>
      <c r="AC165" s="112">
        <f t="shared" si="201"/>
        <v>0</v>
      </c>
      <c r="AD165" s="113">
        <f t="shared" si="202"/>
        <v>0</v>
      </c>
      <c r="AE165" s="111">
        <f t="shared" si="251"/>
        <v>0</v>
      </c>
      <c r="AF165" s="113">
        <f t="shared" si="203"/>
        <v>0</v>
      </c>
      <c r="AG165" s="113">
        <f t="shared" si="204"/>
        <v>0</v>
      </c>
      <c r="AH165" s="114">
        <f t="shared" si="241"/>
        <v>9.9599999999999991</v>
      </c>
      <c r="AI165" s="102" t="str">
        <f t="shared" si="205"/>
        <v>X:8</v>
      </c>
      <c r="AJ165" s="102" t="str">
        <f t="shared" si="206"/>
        <v>NV12343785</v>
      </c>
      <c r="AK165" s="102" t="str">
        <f>IF(OR(J165&lt;D165,J165&gt;F165),"",
IFERROR(INDEX('3. Đơn xin nghỉ'!$K:$K,MATCH('4. Tổng hợp dữ liệu'!AJ165,'3. Đơn xin nghỉ'!$I:$I,0),1),
IF(AND(AU165="Không CC",I165&lt;&gt;1),"Ro:8","")))</f>
        <v/>
      </c>
      <c r="AL165" s="102" t="str">
        <f t="shared" si="207"/>
        <v/>
      </c>
      <c r="AM165" s="102" t="str">
        <f t="shared" si="252"/>
        <v>X:8</v>
      </c>
      <c r="AN165" s="102" t="s">
        <v>92</v>
      </c>
      <c r="AO165" s="102"/>
      <c r="AP165" s="115">
        <f>IFERROR(VLOOKUP(AN165,'Quy đổi công'!A:D,3,0),0)</f>
        <v>1</v>
      </c>
      <c r="AQ165" s="115">
        <f>IFERROR(VLOOKUP(AN165,'Quy đổi công'!A:D,4,0),0)</f>
        <v>0</v>
      </c>
      <c r="AR165" s="115">
        <f t="shared" si="208"/>
        <v>0</v>
      </c>
      <c r="AS165" s="115">
        <f t="shared" si="253"/>
        <v>1</v>
      </c>
      <c r="AT165" s="115">
        <f t="shared" si="254"/>
        <v>0</v>
      </c>
      <c r="AU165" s="102" t="str">
        <f t="shared" si="209"/>
        <v/>
      </c>
      <c r="AV165" s="102" t="str">
        <f t="shared" si="210"/>
        <v/>
      </c>
      <c r="AW165" s="102" t="str">
        <f t="shared" si="211"/>
        <v/>
      </c>
      <c r="AX165" s="102" t="str">
        <f t="shared" si="212"/>
        <v/>
      </c>
      <c r="AY165" s="102" t="str">
        <f t="shared" si="213"/>
        <v/>
      </c>
      <c r="AZ165" s="102"/>
      <c r="BA165" s="102">
        <f>IF(AV165&lt;&gt;0,COUNTIFS($A$7:A165,A165,$AV$7:AV165,"Quên check in"))
+IF(AW165&lt;&gt;0,COUNTIFS($A$7:A165,A165,$AW$7:AW165,"Quên check in"))
+IF(AX165&lt;&gt;0,COUNTIFS($A$7:A165,A165,$AX$7:AX165,"Quên check out"))
+IF(AY165&lt;&gt;0,COUNTIFS($A$7:A165,A165,$AY$7:AY165,"Quên check out"))</f>
        <v>0</v>
      </c>
      <c r="BB165" s="143">
        <f t="shared" si="214"/>
        <v>0</v>
      </c>
    </row>
    <row r="166" spans="1:54" s="83" customFormat="1" ht="14.1" customHeight="1" x14ac:dyDescent="0.3">
      <c r="A166" s="103" t="s">
        <v>13</v>
      </c>
      <c r="B166" s="104" t="s">
        <v>22</v>
      </c>
      <c r="C166" s="105">
        <v>4700000</v>
      </c>
      <c r="D166" s="106">
        <v>43531</v>
      </c>
      <c r="E166" s="107">
        <v>43647</v>
      </c>
      <c r="F166" s="107">
        <v>73415</v>
      </c>
      <c r="G166" s="105">
        <v>26</v>
      </c>
      <c r="H166" s="105">
        <f t="shared" si="242"/>
        <v>7</v>
      </c>
      <c r="I166" s="105"/>
      <c r="J166" s="108">
        <v>43785</v>
      </c>
      <c r="K166" s="108" t="str">
        <f t="shared" si="243"/>
        <v>NV12643785VàoSáng</v>
      </c>
      <c r="L166" s="102" t="str">
        <f>IFERROR(VLOOKUP(K166,'1. Vân tay'!$F:$G,2,0),0)</f>
        <v>07:43:15</v>
      </c>
      <c r="M166" s="108" t="str">
        <f t="shared" si="244"/>
        <v>NV12643785RaSáng</v>
      </c>
      <c r="N166" s="102">
        <f>IFERROR(VLOOKUP(M166,'1. Vân tay'!$F:$G,2,0),0)</f>
        <v>0</v>
      </c>
      <c r="O166" s="108" t="str">
        <f t="shared" si="245"/>
        <v>NV12643785VàoChiều</v>
      </c>
      <c r="P166" s="102">
        <f>IFERROR(VLOOKUP(O166,'1. Vân tay'!$F:$G,2,0),0)</f>
        <v>0</v>
      </c>
      <c r="Q166" s="108" t="str">
        <f t="shared" si="246"/>
        <v>NV12643785RaChiều</v>
      </c>
      <c r="R166" s="102" t="str">
        <f>IFERROR(VLOOKUP(Q166,'1. Vân tay'!$F:$G,2,0),0)</f>
        <v>17:37:23</v>
      </c>
      <c r="S166" s="102">
        <f t="shared" si="247"/>
        <v>0</v>
      </c>
      <c r="T166" s="109">
        <v>0.33333333333333331</v>
      </c>
      <c r="U166" s="109">
        <v>0.5</v>
      </c>
      <c r="V166" s="109">
        <v>0.5625</v>
      </c>
      <c r="W166" s="109">
        <v>0.72916666666666663</v>
      </c>
      <c r="X166" s="102">
        <f>HDSD!$F$4</f>
        <v>5</v>
      </c>
      <c r="Y166" s="102">
        <f>SUMIFS('2. Đi muộn về sớm'!$K:$K,
'2. Đi muộn về sớm'!$B:$B,$A166,
'2. Đi muộn về sớm'!$D:$D,$J166)</f>
        <v>0</v>
      </c>
      <c r="Z166" s="110">
        <f t="shared" si="248"/>
        <v>0</v>
      </c>
      <c r="AA166" s="110">
        <f t="shared" si="249"/>
        <v>0</v>
      </c>
      <c r="AB166" s="111">
        <f t="shared" si="250"/>
        <v>0</v>
      </c>
      <c r="AC166" s="112">
        <f t="shared" si="201"/>
        <v>0</v>
      </c>
      <c r="AD166" s="113">
        <f t="shared" si="202"/>
        <v>0</v>
      </c>
      <c r="AE166" s="111">
        <f t="shared" si="251"/>
        <v>0</v>
      </c>
      <c r="AF166" s="113">
        <f t="shared" si="203"/>
        <v>0</v>
      </c>
      <c r="AG166" s="113">
        <f t="shared" si="204"/>
        <v>0</v>
      </c>
      <c r="AH166" s="114">
        <f t="shared" si="241"/>
        <v>9.9022222222222229</v>
      </c>
      <c r="AI166" s="102" t="str">
        <f t="shared" si="205"/>
        <v>X:8</v>
      </c>
      <c r="AJ166" s="102" t="str">
        <f t="shared" si="206"/>
        <v>NV12643785</v>
      </c>
      <c r="AK166" s="102" t="str">
        <f>IF(OR(J166&lt;D166,J166&gt;F166),"",
IFERROR(INDEX('3. Đơn xin nghỉ'!$K:$K,MATCH('4. Tổng hợp dữ liệu'!AJ166,'3. Đơn xin nghỉ'!$I:$I,0),1),
IF(AND(AU166="Không CC",I166&lt;&gt;1),"Ro:8","")))</f>
        <v/>
      </c>
      <c r="AL166" s="102" t="str">
        <f t="shared" si="207"/>
        <v/>
      </c>
      <c r="AM166" s="102" t="str">
        <f t="shared" si="252"/>
        <v>X:8</v>
      </c>
      <c r="AN166" s="102" t="s">
        <v>92</v>
      </c>
      <c r="AO166" s="102"/>
      <c r="AP166" s="115">
        <f>IFERROR(VLOOKUP(AN166,'Quy đổi công'!A:D,3,0),0)</f>
        <v>1</v>
      </c>
      <c r="AQ166" s="115">
        <f>IFERROR(VLOOKUP(AN166,'Quy đổi công'!A:D,4,0),0)</f>
        <v>0</v>
      </c>
      <c r="AR166" s="115">
        <f t="shared" si="208"/>
        <v>0</v>
      </c>
      <c r="AS166" s="115">
        <f t="shared" si="253"/>
        <v>1</v>
      </c>
      <c r="AT166" s="115">
        <f t="shared" si="254"/>
        <v>0</v>
      </c>
      <c r="AU166" s="102" t="str">
        <f t="shared" si="209"/>
        <v/>
      </c>
      <c r="AV166" s="102" t="str">
        <f t="shared" si="210"/>
        <v/>
      </c>
      <c r="AW166" s="102" t="str">
        <f t="shared" si="211"/>
        <v/>
      </c>
      <c r="AX166" s="102" t="str">
        <f t="shared" si="212"/>
        <v/>
      </c>
      <c r="AY166" s="102" t="str">
        <f t="shared" si="213"/>
        <v/>
      </c>
      <c r="AZ166" s="102"/>
      <c r="BA166" s="102">
        <f>IF(AV166&lt;&gt;0,COUNTIFS($A$7:A166,A166,$AV$7:AV166,"Quên check in"))
+IF(AW166&lt;&gt;0,COUNTIFS($A$7:A166,A166,$AW$7:AW166,"Quên check in"))
+IF(AX166&lt;&gt;0,COUNTIFS($A$7:A166,A166,$AX$7:AX166,"Quên check out"))
+IF(AY166&lt;&gt;0,COUNTIFS($A$7:A166,A166,$AY$7:AY166,"Quên check out"))</f>
        <v>0</v>
      </c>
      <c r="BB166" s="143">
        <f t="shared" si="214"/>
        <v>0</v>
      </c>
    </row>
    <row r="167" spans="1:54" s="83" customFormat="1" ht="14.1" customHeight="1" x14ac:dyDescent="0.3">
      <c r="A167" s="103" t="s">
        <v>4</v>
      </c>
      <c r="B167" s="104" t="s">
        <v>14</v>
      </c>
      <c r="C167" s="105">
        <v>4700000</v>
      </c>
      <c r="D167" s="106">
        <v>43388</v>
      </c>
      <c r="E167" s="107">
        <v>43525</v>
      </c>
      <c r="F167" s="107">
        <v>73415</v>
      </c>
      <c r="G167" s="105">
        <v>26</v>
      </c>
      <c r="H167" s="105">
        <f t="shared" ref="H167:H176" si="255">WEEKDAY(J167,1)</f>
        <v>1</v>
      </c>
      <c r="I167" s="105">
        <v>1</v>
      </c>
      <c r="J167" s="108">
        <v>43786</v>
      </c>
      <c r="K167" s="108" t="str">
        <f t="shared" ref="K167:K176" si="256">$A167&amp;$J167&amp;"Vào"&amp;"Sáng"</f>
        <v>NV10143786VàoSáng</v>
      </c>
      <c r="L167" s="102">
        <f>IFERROR(VLOOKUP(K167,'1. Vân tay'!$F:$G,2,0),0)</f>
        <v>0</v>
      </c>
      <c r="M167" s="108" t="str">
        <f t="shared" ref="M167:M176" si="257">$A167&amp;$J167&amp;"Ra"&amp;"Sáng"</f>
        <v>NV10143786RaSáng</v>
      </c>
      <c r="N167" s="102">
        <f>IFERROR(VLOOKUP(M167,'1. Vân tay'!$F:$G,2,0),0)</f>
        <v>0</v>
      </c>
      <c r="O167" s="108" t="str">
        <f t="shared" ref="O167:O176" si="258">$A167&amp;$J167&amp;"Vào"&amp;"Chiều"</f>
        <v>NV10143786VàoChiều</v>
      </c>
      <c r="P167" s="102">
        <f>IFERROR(VLOOKUP(O167,'1. Vân tay'!$F:$G,2,0),0)</f>
        <v>0</v>
      </c>
      <c r="Q167" s="108" t="str">
        <f t="shared" ref="Q167:Q176" si="259">$A167&amp;$J167&amp;"Ra"&amp;"Chiều"</f>
        <v>NV10143786RaChiều</v>
      </c>
      <c r="R167" s="102">
        <f>IFERROR(VLOOKUP(Q167,'1. Vân tay'!$F:$G,2,0),0)</f>
        <v>0</v>
      </c>
      <c r="S167" s="102">
        <f t="shared" ref="S167:S176" si="260">IF(OR(
(AND(L167&lt;&gt;0,P167&lt;&gt;0)),
(AND(N167&lt;&gt;0,R167&lt;&gt;0))),"Kiểm tra",0)</f>
        <v>0</v>
      </c>
      <c r="T167" s="109">
        <v>0.33333333333333331</v>
      </c>
      <c r="U167" s="109">
        <v>0.5</v>
      </c>
      <c r="V167" s="109">
        <v>0.5625</v>
      </c>
      <c r="W167" s="109">
        <v>0.72916666666666663</v>
      </c>
      <c r="X167" s="102">
        <f>HDSD!$F$4</f>
        <v>5</v>
      </c>
      <c r="Y167" s="102">
        <f>SUMIFS('2. Đi muộn về sớm'!$K:$K,
'2. Đi muộn về sớm'!$B:$B,$A167,
'2. Đi muộn về sớm'!$D:$D,$J167)</f>
        <v>0</v>
      </c>
      <c r="Z167" s="110">
        <f t="shared" ref="Z167:Z176" si="261">IF(L167=0,0,IFERROR((HOUR(L167-T167)*60+MINUTE(L167-T167)+SECOND(L167-T167)/60),0))
+IF(N167=0,0, IFERROR((HOUR(U167-N167)*60+MINUTE(U167-N167)+SECOND(U167-N167)/60),0))
+IF(P167=0,0, IFERROR((HOUR(P167-V167)*60+MINUTE(P167-V167)+SECOND(P167-V167)/60),0))
+IF(R167=0,0, IFERROR((HOUR(W167-R167)*60+MINUTE(W167-R167)+SECOND(W167-R167)/60),0))</f>
        <v>0</v>
      </c>
      <c r="AA167" s="110">
        <f t="shared" ref="AA167:AA176" si="262">IF(L167=0,0,IFERROR((HOUR(L167-"09:00:00")*60+MINUTE(L167-"09:00:00")+SECOND(L167-"09:00:00")/60),0))
+IF(N167=0,0, IFERROR((HOUR(U167-N167)*60+MINUTE(U167-N167)+SECOND(U167-N167)/60),0))
+IF(P167=0,0, IFERROR((HOUR(P167-V167)*60+MINUTE(P167-V167)+SECOND(P167-V167)/60),0))
+IF(R167=0,0, IFERROR((HOUR("16:30:00"-R167)*60+MINUTE("16:30:00"-R167)+SECOND("16:30:00"-R167)/60),0))</f>
        <v>0</v>
      </c>
      <c r="AB167" s="111">
        <f t="shared" ref="AB167:AB176" si="263">Z167-AA167</f>
        <v>0</v>
      </c>
      <c r="AC167" s="112">
        <f t="shared" si="201"/>
        <v>0</v>
      </c>
      <c r="AD167" s="113">
        <f t="shared" si="202"/>
        <v>0</v>
      </c>
      <c r="AE167" s="111">
        <f t="shared" ref="AE167:AE176" si="264">AA167/60/8</f>
        <v>0</v>
      </c>
      <c r="AF167" s="113">
        <f t="shared" si="203"/>
        <v>0</v>
      </c>
      <c r="AG167" s="113">
        <f t="shared" si="204"/>
        <v>0</v>
      </c>
      <c r="AH167" s="114">
        <f t="shared" si="241"/>
        <v>0</v>
      </c>
      <c r="AI167" s="102" t="str">
        <f t="shared" si="205"/>
        <v/>
      </c>
      <c r="AJ167" s="102" t="str">
        <f t="shared" si="206"/>
        <v>NV10143786</v>
      </c>
      <c r="AK167" s="102" t="str">
        <f>IF(OR(J167&lt;D167,J167&gt;F167),"",
IFERROR(INDEX('3. Đơn xin nghỉ'!$K:$K,MATCH('4. Tổng hợp dữ liệu'!AJ167,'3. Đơn xin nghỉ'!$I:$I,0),1),
IF(AND(AU167="Không CC",I167&lt;&gt;1),"Ro:8","")))</f>
        <v/>
      </c>
      <c r="AL167" s="102" t="str">
        <f t="shared" si="207"/>
        <v>OFF</v>
      </c>
      <c r="AM167" s="102" t="str">
        <f t="shared" ref="AM167:AM176" si="265">IF(OR(AI167="",AK167=""),AI167&amp;AK167,AI167&amp;","&amp;AK167)&amp;AL167</f>
        <v>OFF</v>
      </c>
      <c r="AN167" s="102" t="s">
        <v>93</v>
      </c>
      <c r="AO167" s="102"/>
      <c r="AP167" s="115">
        <f>IFERROR(VLOOKUP(AN167,'Quy đổi công'!A:D,3,0),0)</f>
        <v>0</v>
      </c>
      <c r="AQ167" s="115">
        <f>IFERROR(VLOOKUP(AN167,'Quy đổi công'!A:D,4,0),0)</f>
        <v>0</v>
      </c>
      <c r="AR167" s="115">
        <f t="shared" si="208"/>
        <v>0</v>
      </c>
      <c r="AS167" s="115">
        <f t="shared" ref="AS167:AS176" si="266">AP167-AR167</f>
        <v>0</v>
      </c>
      <c r="AT167" s="115">
        <f t="shared" ref="AT167:AT176" si="267">IF(AN167="P8",1)
+IF(OR(AN167="X:4,P:4",AN167="P:4,Rv:4",AN167="P:4,Ro:4"),1/2)</f>
        <v>0</v>
      </c>
      <c r="AU167" s="102" t="str">
        <f t="shared" si="209"/>
        <v>Không CC</v>
      </c>
      <c r="AV167" s="102" t="str">
        <f t="shared" si="210"/>
        <v/>
      </c>
      <c r="AW167" s="102" t="str">
        <f t="shared" si="211"/>
        <v/>
      </c>
      <c r="AX167" s="102" t="str">
        <f t="shared" si="212"/>
        <v/>
      </c>
      <c r="AY167" s="102" t="str">
        <f t="shared" si="213"/>
        <v/>
      </c>
      <c r="AZ167" s="102"/>
      <c r="BA167" s="102">
        <f>IF(AV167&lt;&gt;0,COUNTIFS($A$7:A167,A167,$AV$7:AV167,"Quên check in"))
+IF(AW167&lt;&gt;0,COUNTIFS($A$7:A167,A167,$AW$7:AW167,"Quên check in"))
+IF(AX167&lt;&gt;0,COUNTIFS($A$7:A167,A167,$AX$7:AX167,"Quên check out"))
+IF(AY167&lt;&gt;0,COUNTIFS($A$7:A167,A167,$AY$7:AY167,"Quên check out"))</f>
        <v>0</v>
      </c>
      <c r="BB167" s="143">
        <f t="shared" si="214"/>
        <v>0</v>
      </c>
    </row>
    <row r="168" spans="1:54" s="83" customFormat="1" ht="14.1" customHeight="1" x14ac:dyDescent="0.3">
      <c r="A168" s="103" t="s">
        <v>5</v>
      </c>
      <c r="B168" s="104" t="s">
        <v>28</v>
      </c>
      <c r="C168" s="105">
        <v>10000000</v>
      </c>
      <c r="D168" s="106">
        <v>43409</v>
      </c>
      <c r="E168" s="107">
        <v>43678</v>
      </c>
      <c r="F168" s="107">
        <v>73415</v>
      </c>
      <c r="G168" s="105">
        <v>26</v>
      </c>
      <c r="H168" s="105">
        <f t="shared" si="255"/>
        <v>1</v>
      </c>
      <c r="I168" s="105">
        <v>1</v>
      </c>
      <c r="J168" s="108">
        <v>43786</v>
      </c>
      <c r="K168" s="108" t="str">
        <f t="shared" si="256"/>
        <v>NV10743786VàoSáng</v>
      </c>
      <c r="L168" s="102">
        <f>IFERROR(VLOOKUP(K168,'1. Vân tay'!$F:$G,2,0),0)</f>
        <v>0</v>
      </c>
      <c r="M168" s="108" t="str">
        <f t="shared" si="257"/>
        <v>NV10743786RaSáng</v>
      </c>
      <c r="N168" s="102">
        <f>IFERROR(VLOOKUP(M168,'1. Vân tay'!$F:$G,2,0),0)</f>
        <v>0</v>
      </c>
      <c r="O168" s="108" t="str">
        <f t="shared" si="258"/>
        <v>NV10743786VàoChiều</v>
      </c>
      <c r="P168" s="102">
        <f>IFERROR(VLOOKUP(O168,'1. Vân tay'!$F:$G,2,0),0)</f>
        <v>0</v>
      </c>
      <c r="Q168" s="108" t="str">
        <f t="shared" si="259"/>
        <v>NV10743786RaChiều</v>
      </c>
      <c r="R168" s="102">
        <f>IFERROR(VLOOKUP(Q168,'1. Vân tay'!$F:$G,2,0),0)</f>
        <v>0</v>
      </c>
      <c r="S168" s="102">
        <f t="shared" si="260"/>
        <v>0</v>
      </c>
      <c r="T168" s="109">
        <v>0.33333333333333331</v>
      </c>
      <c r="U168" s="109">
        <v>0.5</v>
      </c>
      <c r="V168" s="109">
        <v>0.5625</v>
      </c>
      <c r="W168" s="109">
        <v>0.72916666666666663</v>
      </c>
      <c r="X168" s="102">
        <f>HDSD!$F$4</f>
        <v>5</v>
      </c>
      <c r="Y168" s="102">
        <f>SUMIFS('2. Đi muộn về sớm'!$K:$K,
'2. Đi muộn về sớm'!$B:$B,$A168,
'2. Đi muộn về sớm'!$D:$D,$J168)</f>
        <v>0</v>
      </c>
      <c r="Z168" s="110">
        <f t="shared" si="261"/>
        <v>0</v>
      </c>
      <c r="AA168" s="110">
        <f t="shared" si="262"/>
        <v>0</v>
      </c>
      <c r="AB168" s="111">
        <f t="shared" si="263"/>
        <v>0</v>
      </c>
      <c r="AC168" s="112">
        <f t="shared" si="201"/>
        <v>0</v>
      </c>
      <c r="AD168" s="113">
        <f t="shared" si="202"/>
        <v>0</v>
      </c>
      <c r="AE168" s="111">
        <f t="shared" si="264"/>
        <v>0</v>
      </c>
      <c r="AF168" s="113">
        <f t="shared" si="203"/>
        <v>0</v>
      </c>
      <c r="AG168" s="113">
        <f t="shared" si="204"/>
        <v>0</v>
      </c>
      <c r="AH168" s="114">
        <f t="shared" si="241"/>
        <v>0</v>
      </c>
      <c r="AI168" s="102" t="str">
        <f t="shared" si="205"/>
        <v/>
      </c>
      <c r="AJ168" s="102" t="str">
        <f t="shared" si="206"/>
        <v>NV10743786</v>
      </c>
      <c r="AK168" s="102" t="str">
        <f>IF(OR(J168&lt;D168,J168&gt;F168),"",
IFERROR(INDEX('3. Đơn xin nghỉ'!$K:$K,MATCH('4. Tổng hợp dữ liệu'!AJ168,'3. Đơn xin nghỉ'!$I:$I,0),1),
IF(AND(AU168="Không CC",I168&lt;&gt;1),"Ro:8","")))</f>
        <v/>
      </c>
      <c r="AL168" s="102" t="str">
        <f t="shared" si="207"/>
        <v>OFF</v>
      </c>
      <c r="AM168" s="102" t="str">
        <f t="shared" si="265"/>
        <v>OFF</v>
      </c>
      <c r="AN168" s="102" t="s">
        <v>93</v>
      </c>
      <c r="AO168" s="102"/>
      <c r="AP168" s="115">
        <f>IFERROR(VLOOKUP(AN168,'Quy đổi công'!A:D,3,0),0)</f>
        <v>0</v>
      </c>
      <c r="AQ168" s="115">
        <f>IFERROR(VLOOKUP(AN168,'Quy đổi công'!A:D,4,0),0)</f>
        <v>0</v>
      </c>
      <c r="AR168" s="115">
        <f t="shared" si="208"/>
        <v>0</v>
      </c>
      <c r="AS168" s="115">
        <f t="shared" si="266"/>
        <v>0</v>
      </c>
      <c r="AT168" s="115">
        <f t="shared" si="267"/>
        <v>0</v>
      </c>
      <c r="AU168" s="102" t="str">
        <f t="shared" si="209"/>
        <v>Không CC</v>
      </c>
      <c r="AV168" s="102" t="str">
        <f t="shared" si="210"/>
        <v/>
      </c>
      <c r="AW168" s="102" t="str">
        <f t="shared" si="211"/>
        <v/>
      </c>
      <c r="AX168" s="102" t="str">
        <f t="shared" si="212"/>
        <v/>
      </c>
      <c r="AY168" s="102" t="str">
        <f t="shared" si="213"/>
        <v/>
      </c>
      <c r="AZ168" s="102"/>
      <c r="BA168" s="102">
        <f>IF(AV168&lt;&gt;0,COUNTIFS($A$7:A168,A168,$AV$7:AV168,"Quên check in"))
+IF(AW168&lt;&gt;0,COUNTIFS($A$7:A168,A168,$AW$7:AW168,"Quên check in"))
+IF(AX168&lt;&gt;0,COUNTIFS($A$7:A168,A168,$AX$7:AX168,"Quên check out"))
+IF(AY168&lt;&gt;0,COUNTIFS($A$7:A168,A168,$AY$7:AY168,"Quên check out"))</f>
        <v>2</v>
      </c>
      <c r="BB168" s="143">
        <f t="shared" si="214"/>
        <v>0</v>
      </c>
    </row>
    <row r="169" spans="1:54" s="83" customFormat="1" ht="14.1" customHeight="1" x14ac:dyDescent="0.3">
      <c r="A169" s="103" t="s">
        <v>6</v>
      </c>
      <c r="B169" s="104" t="s">
        <v>15</v>
      </c>
      <c r="C169" s="105">
        <v>4700000</v>
      </c>
      <c r="D169" s="106">
        <v>43409</v>
      </c>
      <c r="E169" s="107">
        <v>43617</v>
      </c>
      <c r="F169" s="107">
        <v>73415</v>
      </c>
      <c r="G169" s="105">
        <v>26</v>
      </c>
      <c r="H169" s="105">
        <f t="shared" si="255"/>
        <v>1</v>
      </c>
      <c r="I169" s="105">
        <v>1</v>
      </c>
      <c r="J169" s="108">
        <v>43786</v>
      </c>
      <c r="K169" s="108" t="str">
        <f t="shared" si="256"/>
        <v>NV10843786VàoSáng</v>
      </c>
      <c r="L169" s="102">
        <f>IFERROR(VLOOKUP(K169,'1. Vân tay'!$F:$G,2,0),0)</f>
        <v>0</v>
      </c>
      <c r="M169" s="108" t="str">
        <f t="shared" si="257"/>
        <v>NV10843786RaSáng</v>
      </c>
      <c r="N169" s="102">
        <f>IFERROR(VLOOKUP(M169,'1. Vân tay'!$F:$G,2,0),0)</f>
        <v>0</v>
      </c>
      <c r="O169" s="108" t="str">
        <f t="shared" si="258"/>
        <v>NV10843786VàoChiều</v>
      </c>
      <c r="P169" s="102">
        <f>IFERROR(VLOOKUP(O169,'1. Vân tay'!$F:$G,2,0),0)</f>
        <v>0</v>
      </c>
      <c r="Q169" s="108" t="str">
        <f t="shared" si="259"/>
        <v>NV10843786RaChiều</v>
      </c>
      <c r="R169" s="102">
        <f>IFERROR(VLOOKUP(Q169,'1. Vân tay'!$F:$G,2,0),0)</f>
        <v>0</v>
      </c>
      <c r="S169" s="102">
        <f t="shared" si="260"/>
        <v>0</v>
      </c>
      <c r="T169" s="109">
        <v>0.33333333333333331</v>
      </c>
      <c r="U169" s="109">
        <v>0.5</v>
      </c>
      <c r="V169" s="109">
        <v>0.5625</v>
      </c>
      <c r="W169" s="109">
        <v>0.72916666666666663</v>
      </c>
      <c r="X169" s="102">
        <f>HDSD!$F$4</f>
        <v>5</v>
      </c>
      <c r="Y169" s="102">
        <f>SUMIFS('2. Đi muộn về sớm'!$K:$K,
'2. Đi muộn về sớm'!$B:$B,$A169,
'2. Đi muộn về sớm'!$D:$D,$J169)</f>
        <v>0</v>
      </c>
      <c r="Z169" s="110">
        <f t="shared" si="261"/>
        <v>0</v>
      </c>
      <c r="AA169" s="110">
        <f t="shared" si="262"/>
        <v>0</v>
      </c>
      <c r="AB169" s="111">
        <f t="shared" si="263"/>
        <v>0</v>
      </c>
      <c r="AC169" s="112">
        <f t="shared" si="201"/>
        <v>0</v>
      </c>
      <c r="AD169" s="113">
        <f t="shared" si="202"/>
        <v>0</v>
      </c>
      <c r="AE169" s="111">
        <f t="shared" si="264"/>
        <v>0</v>
      </c>
      <c r="AF169" s="113">
        <f t="shared" si="203"/>
        <v>0</v>
      </c>
      <c r="AG169" s="113">
        <f t="shared" si="204"/>
        <v>0</v>
      </c>
      <c r="AH169" s="114">
        <f t="shared" si="241"/>
        <v>0</v>
      </c>
      <c r="AI169" s="102" t="str">
        <f t="shared" si="205"/>
        <v/>
      </c>
      <c r="AJ169" s="102" t="str">
        <f t="shared" si="206"/>
        <v>NV10843786</v>
      </c>
      <c r="AK169" s="102" t="str">
        <f>IF(OR(J169&lt;D169,J169&gt;F169),"",
IFERROR(INDEX('3. Đơn xin nghỉ'!$K:$K,MATCH('4. Tổng hợp dữ liệu'!AJ169,'3. Đơn xin nghỉ'!$I:$I,0),1),
IF(AND(AU169="Không CC",I169&lt;&gt;1),"Ro:8","")))</f>
        <v/>
      </c>
      <c r="AL169" s="102" t="str">
        <f t="shared" si="207"/>
        <v>OFF</v>
      </c>
      <c r="AM169" s="102" t="str">
        <f t="shared" si="265"/>
        <v>OFF</v>
      </c>
      <c r="AN169" s="102" t="s">
        <v>93</v>
      </c>
      <c r="AO169" s="102"/>
      <c r="AP169" s="115">
        <f>IFERROR(VLOOKUP(AN169,'Quy đổi công'!A:D,3,0),0)</f>
        <v>0</v>
      </c>
      <c r="AQ169" s="115">
        <f>IFERROR(VLOOKUP(AN169,'Quy đổi công'!A:D,4,0),0)</f>
        <v>0</v>
      </c>
      <c r="AR169" s="115">
        <f t="shared" si="208"/>
        <v>0</v>
      </c>
      <c r="AS169" s="115">
        <f t="shared" si="266"/>
        <v>0</v>
      </c>
      <c r="AT169" s="115">
        <f t="shared" si="267"/>
        <v>0</v>
      </c>
      <c r="AU169" s="102" t="str">
        <f t="shared" si="209"/>
        <v>Không CC</v>
      </c>
      <c r="AV169" s="102" t="str">
        <f t="shared" si="210"/>
        <v/>
      </c>
      <c r="AW169" s="102" t="str">
        <f t="shared" si="211"/>
        <v/>
      </c>
      <c r="AX169" s="102" t="str">
        <f t="shared" si="212"/>
        <v/>
      </c>
      <c r="AY169" s="102" t="str">
        <f t="shared" si="213"/>
        <v/>
      </c>
      <c r="AZ169" s="102"/>
      <c r="BA169" s="102">
        <f>IF(AV169&lt;&gt;0,COUNTIFS($A$7:A169,A169,$AV$7:AV169,"Quên check in"))
+IF(AW169&lt;&gt;0,COUNTIFS($A$7:A169,A169,$AW$7:AW169,"Quên check in"))
+IF(AX169&lt;&gt;0,COUNTIFS($A$7:A169,A169,$AX$7:AX169,"Quên check out"))
+IF(AY169&lt;&gt;0,COUNTIFS($A$7:A169,A169,$AY$7:AY169,"Quên check out"))</f>
        <v>0</v>
      </c>
      <c r="BB169" s="143">
        <f t="shared" si="214"/>
        <v>0</v>
      </c>
    </row>
    <row r="170" spans="1:54" s="83" customFormat="1" ht="14.1" customHeight="1" x14ac:dyDescent="0.3">
      <c r="A170" s="103" t="s">
        <v>7</v>
      </c>
      <c r="B170" s="104" t="s">
        <v>16</v>
      </c>
      <c r="C170" s="105">
        <v>5000000</v>
      </c>
      <c r="D170" s="106">
        <v>43416</v>
      </c>
      <c r="E170" s="107">
        <v>43617</v>
      </c>
      <c r="F170" s="107">
        <v>73415</v>
      </c>
      <c r="G170" s="105">
        <v>26</v>
      </c>
      <c r="H170" s="105">
        <f t="shared" si="255"/>
        <v>1</v>
      </c>
      <c r="I170" s="105">
        <v>1</v>
      </c>
      <c r="J170" s="108">
        <v>43786</v>
      </c>
      <c r="K170" s="108" t="str">
        <f t="shared" si="256"/>
        <v>NV10943786VàoSáng</v>
      </c>
      <c r="L170" s="102">
        <f>IFERROR(VLOOKUP(K170,'1. Vân tay'!$F:$G,2,0),0)</f>
        <v>0</v>
      </c>
      <c r="M170" s="108" t="str">
        <f t="shared" si="257"/>
        <v>NV10943786RaSáng</v>
      </c>
      <c r="N170" s="102">
        <f>IFERROR(VLOOKUP(M170,'1. Vân tay'!$F:$G,2,0),0)</f>
        <v>0</v>
      </c>
      <c r="O170" s="108" t="str">
        <f t="shared" si="258"/>
        <v>NV10943786VàoChiều</v>
      </c>
      <c r="P170" s="102">
        <f>IFERROR(VLOOKUP(O170,'1. Vân tay'!$F:$G,2,0),0)</f>
        <v>0</v>
      </c>
      <c r="Q170" s="108" t="str">
        <f t="shared" si="259"/>
        <v>NV10943786RaChiều</v>
      </c>
      <c r="R170" s="102">
        <f>IFERROR(VLOOKUP(Q170,'1. Vân tay'!$F:$G,2,0),0)</f>
        <v>0</v>
      </c>
      <c r="S170" s="102">
        <f t="shared" si="260"/>
        <v>0</v>
      </c>
      <c r="T170" s="109">
        <v>0.33333333333333331</v>
      </c>
      <c r="U170" s="109">
        <v>0.5</v>
      </c>
      <c r="V170" s="109">
        <v>0.5625</v>
      </c>
      <c r="W170" s="109">
        <v>0.72916666666666663</v>
      </c>
      <c r="X170" s="102">
        <f>HDSD!$F$4</f>
        <v>5</v>
      </c>
      <c r="Y170" s="102">
        <f>SUMIFS('2. Đi muộn về sớm'!$K:$K,
'2. Đi muộn về sớm'!$B:$B,$A170,
'2. Đi muộn về sớm'!$D:$D,$J170)</f>
        <v>0</v>
      </c>
      <c r="Z170" s="110">
        <f t="shared" si="261"/>
        <v>0</v>
      </c>
      <c r="AA170" s="110">
        <f t="shared" si="262"/>
        <v>0</v>
      </c>
      <c r="AB170" s="111">
        <f t="shared" si="263"/>
        <v>0</v>
      </c>
      <c r="AC170" s="112">
        <f t="shared" si="201"/>
        <v>0</v>
      </c>
      <c r="AD170" s="113">
        <f t="shared" si="202"/>
        <v>0</v>
      </c>
      <c r="AE170" s="111">
        <f t="shared" si="264"/>
        <v>0</v>
      </c>
      <c r="AF170" s="113">
        <f t="shared" si="203"/>
        <v>0</v>
      </c>
      <c r="AG170" s="113">
        <f t="shared" si="204"/>
        <v>0</v>
      </c>
      <c r="AH170" s="114">
        <f t="shared" si="241"/>
        <v>0</v>
      </c>
      <c r="AI170" s="102" t="str">
        <f t="shared" si="205"/>
        <v/>
      </c>
      <c r="AJ170" s="102" t="str">
        <f t="shared" si="206"/>
        <v>NV10943786</v>
      </c>
      <c r="AK170" s="102" t="str">
        <f>IF(OR(J170&lt;D170,J170&gt;F170),"",
IFERROR(INDEX('3. Đơn xin nghỉ'!$K:$K,MATCH('4. Tổng hợp dữ liệu'!AJ170,'3. Đơn xin nghỉ'!$I:$I,0),1),
IF(AND(AU170="Không CC",I170&lt;&gt;1),"Ro:8","")))</f>
        <v/>
      </c>
      <c r="AL170" s="102" t="str">
        <f t="shared" si="207"/>
        <v>OFF</v>
      </c>
      <c r="AM170" s="102" t="str">
        <f t="shared" si="265"/>
        <v>OFF</v>
      </c>
      <c r="AN170" s="102" t="s">
        <v>93</v>
      </c>
      <c r="AO170" s="102"/>
      <c r="AP170" s="115">
        <f>IFERROR(VLOOKUP(AN170,'Quy đổi công'!A:D,3,0),0)</f>
        <v>0</v>
      </c>
      <c r="AQ170" s="115">
        <f>IFERROR(VLOOKUP(AN170,'Quy đổi công'!A:D,4,0),0)</f>
        <v>0</v>
      </c>
      <c r="AR170" s="115">
        <f t="shared" si="208"/>
        <v>0</v>
      </c>
      <c r="AS170" s="115">
        <f t="shared" si="266"/>
        <v>0</v>
      </c>
      <c r="AT170" s="115">
        <f t="shared" si="267"/>
        <v>0</v>
      </c>
      <c r="AU170" s="102" t="str">
        <f t="shared" si="209"/>
        <v>Không CC</v>
      </c>
      <c r="AV170" s="102" t="str">
        <f t="shared" si="210"/>
        <v/>
      </c>
      <c r="AW170" s="102" t="str">
        <f t="shared" si="211"/>
        <v/>
      </c>
      <c r="AX170" s="102" t="str">
        <f t="shared" si="212"/>
        <v/>
      </c>
      <c r="AY170" s="102" t="str">
        <f t="shared" si="213"/>
        <v/>
      </c>
      <c r="AZ170" s="102"/>
      <c r="BA170" s="102">
        <f>IF(AV170&lt;&gt;0,COUNTIFS($A$7:A170,A170,$AV$7:AV170,"Quên check in"))
+IF(AW170&lt;&gt;0,COUNTIFS($A$7:A170,A170,$AW$7:AW170,"Quên check in"))
+IF(AX170&lt;&gt;0,COUNTIFS($A$7:A170,A170,$AX$7:AX170,"Quên check out"))
+IF(AY170&lt;&gt;0,COUNTIFS($A$7:A170,A170,$AY$7:AY170,"Quên check out"))</f>
        <v>0</v>
      </c>
      <c r="BB170" s="143">
        <f t="shared" si="214"/>
        <v>0</v>
      </c>
    </row>
    <row r="171" spans="1:54" s="83" customFormat="1" ht="14.1" customHeight="1" x14ac:dyDescent="0.3">
      <c r="A171" s="103" t="s">
        <v>8</v>
      </c>
      <c r="B171" s="104" t="s">
        <v>17</v>
      </c>
      <c r="C171" s="105">
        <v>5000000</v>
      </c>
      <c r="D171" s="106">
        <v>43423</v>
      </c>
      <c r="E171" s="107">
        <v>43617</v>
      </c>
      <c r="F171" s="107">
        <v>73415</v>
      </c>
      <c r="G171" s="105">
        <v>26</v>
      </c>
      <c r="H171" s="105">
        <f t="shared" si="255"/>
        <v>1</v>
      </c>
      <c r="I171" s="105">
        <v>1</v>
      </c>
      <c r="J171" s="108">
        <v>43786</v>
      </c>
      <c r="K171" s="108" t="str">
        <f t="shared" si="256"/>
        <v>NV11343786VàoSáng</v>
      </c>
      <c r="L171" s="102">
        <f>IFERROR(VLOOKUP(K171,'1. Vân tay'!$F:$G,2,0),0)</f>
        <v>0</v>
      </c>
      <c r="M171" s="108" t="str">
        <f t="shared" si="257"/>
        <v>NV11343786RaSáng</v>
      </c>
      <c r="N171" s="102">
        <f>IFERROR(VLOOKUP(M171,'1. Vân tay'!$F:$G,2,0),0)</f>
        <v>0</v>
      </c>
      <c r="O171" s="108" t="str">
        <f t="shared" si="258"/>
        <v>NV11343786VàoChiều</v>
      </c>
      <c r="P171" s="102">
        <f>IFERROR(VLOOKUP(O171,'1. Vân tay'!$F:$G,2,0),0)</f>
        <v>0</v>
      </c>
      <c r="Q171" s="108" t="str">
        <f t="shared" si="259"/>
        <v>NV11343786RaChiều</v>
      </c>
      <c r="R171" s="102">
        <f>IFERROR(VLOOKUP(Q171,'1. Vân tay'!$F:$G,2,0),0)</f>
        <v>0</v>
      </c>
      <c r="S171" s="102">
        <f t="shared" si="260"/>
        <v>0</v>
      </c>
      <c r="T171" s="109">
        <v>0.33333333333333331</v>
      </c>
      <c r="U171" s="109">
        <v>0.5</v>
      </c>
      <c r="V171" s="109">
        <v>0.5625</v>
      </c>
      <c r="W171" s="109">
        <v>0.72916666666666663</v>
      </c>
      <c r="X171" s="102">
        <f>HDSD!$F$4</f>
        <v>5</v>
      </c>
      <c r="Y171" s="102">
        <f>SUMIFS('2. Đi muộn về sớm'!$K:$K,
'2. Đi muộn về sớm'!$B:$B,$A171,
'2. Đi muộn về sớm'!$D:$D,$J171)</f>
        <v>0</v>
      </c>
      <c r="Z171" s="110">
        <f t="shared" si="261"/>
        <v>0</v>
      </c>
      <c r="AA171" s="110">
        <f t="shared" si="262"/>
        <v>0</v>
      </c>
      <c r="AB171" s="111">
        <f t="shared" si="263"/>
        <v>0</v>
      </c>
      <c r="AC171" s="112">
        <f t="shared" si="201"/>
        <v>0</v>
      </c>
      <c r="AD171" s="113">
        <f t="shared" si="202"/>
        <v>0</v>
      </c>
      <c r="AE171" s="111">
        <f t="shared" si="264"/>
        <v>0</v>
      </c>
      <c r="AF171" s="113">
        <f t="shared" si="203"/>
        <v>0</v>
      </c>
      <c r="AG171" s="113">
        <f t="shared" si="204"/>
        <v>0</v>
      </c>
      <c r="AH171" s="114">
        <f t="shared" si="241"/>
        <v>0</v>
      </c>
      <c r="AI171" s="102" t="str">
        <f t="shared" si="205"/>
        <v/>
      </c>
      <c r="AJ171" s="102" t="str">
        <f t="shared" si="206"/>
        <v>NV11343786</v>
      </c>
      <c r="AK171" s="102" t="str">
        <f>IF(OR(J171&lt;D171,J171&gt;F171),"",
IFERROR(INDEX('3. Đơn xin nghỉ'!$K:$K,MATCH('4. Tổng hợp dữ liệu'!AJ171,'3. Đơn xin nghỉ'!$I:$I,0),1),
IF(AND(AU171="Không CC",I171&lt;&gt;1),"Ro:8","")))</f>
        <v/>
      </c>
      <c r="AL171" s="102" t="str">
        <f t="shared" si="207"/>
        <v>OFF</v>
      </c>
      <c r="AM171" s="102" t="str">
        <f t="shared" si="265"/>
        <v>OFF</v>
      </c>
      <c r="AN171" s="102" t="s">
        <v>93</v>
      </c>
      <c r="AO171" s="102"/>
      <c r="AP171" s="115">
        <f>IFERROR(VLOOKUP(AN171,'Quy đổi công'!A:D,3,0),0)</f>
        <v>0</v>
      </c>
      <c r="AQ171" s="115">
        <f>IFERROR(VLOOKUP(AN171,'Quy đổi công'!A:D,4,0),0)</f>
        <v>0</v>
      </c>
      <c r="AR171" s="115">
        <f t="shared" si="208"/>
        <v>0</v>
      </c>
      <c r="AS171" s="115">
        <f t="shared" si="266"/>
        <v>0</v>
      </c>
      <c r="AT171" s="115">
        <f t="shared" si="267"/>
        <v>0</v>
      </c>
      <c r="AU171" s="102" t="str">
        <f t="shared" si="209"/>
        <v>Không CC</v>
      </c>
      <c r="AV171" s="102" t="str">
        <f t="shared" si="210"/>
        <v/>
      </c>
      <c r="AW171" s="102" t="str">
        <f t="shared" si="211"/>
        <v/>
      </c>
      <c r="AX171" s="102" t="str">
        <f t="shared" si="212"/>
        <v/>
      </c>
      <c r="AY171" s="102" t="str">
        <f t="shared" si="213"/>
        <v/>
      </c>
      <c r="AZ171" s="102"/>
      <c r="BA171" s="102">
        <f>IF(AV171&lt;&gt;0,COUNTIFS($A$7:A171,A171,$AV$7:AV171,"Quên check in"))
+IF(AW171&lt;&gt;0,COUNTIFS($A$7:A171,A171,$AW$7:AW171,"Quên check in"))
+IF(AX171&lt;&gt;0,COUNTIFS($A$7:A171,A171,$AX$7:AX171,"Quên check out"))
+IF(AY171&lt;&gt;0,COUNTIFS($A$7:A171,A171,$AY$7:AY171,"Quên check out"))</f>
        <v>1</v>
      </c>
      <c r="BB171" s="143">
        <f t="shared" si="214"/>
        <v>0</v>
      </c>
    </row>
    <row r="172" spans="1:54" s="83" customFormat="1" ht="14.1" customHeight="1" x14ac:dyDescent="0.3">
      <c r="A172" s="103" t="s">
        <v>9</v>
      </c>
      <c r="B172" s="104" t="s">
        <v>18</v>
      </c>
      <c r="C172" s="105">
        <v>4900000</v>
      </c>
      <c r="D172" s="106">
        <v>43437</v>
      </c>
      <c r="E172" s="107">
        <v>43617</v>
      </c>
      <c r="F172" s="107">
        <v>73415</v>
      </c>
      <c r="G172" s="105">
        <v>26</v>
      </c>
      <c r="H172" s="105">
        <f t="shared" si="255"/>
        <v>1</v>
      </c>
      <c r="I172" s="105">
        <v>1</v>
      </c>
      <c r="J172" s="108">
        <v>43786</v>
      </c>
      <c r="K172" s="108" t="str">
        <f t="shared" si="256"/>
        <v>NV11443786VàoSáng</v>
      </c>
      <c r="L172" s="102">
        <f>IFERROR(VLOOKUP(K172,'1. Vân tay'!$F:$G,2,0),0)</f>
        <v>0</v>
      </c>
      <c r="M172" s="108" t="str">
        <f t="shared" si="257"/>
        <v>NV11443786RaSáng</v>
      </c>
      <c r="N172" s="102">
        <f>IFERROR(VLOOKUP(M172,'1. Vân tay'!$F:$G,2,0),0)</f>
        <v>0</v>
      </c>
      <c r="O172" s="108" t="str">
        <f t="shared" si="258"/>
        <v>NV11443786VàoChiều</v>
      </c>
      <c r="P172" s="102">
        <f>IFERROR(VLOOKUP(O172,'1. Vân tay'!$F:$G,2,0),0)</f>
        <v>0</v>
      </c>
      <c r="Q172" s="108" t="str">
        <f t="shared" si="259"/>
        <v>NV11443786RaChiều</v>
      </c>
      <c r="R172" s="102">
        <f>IFERROR(VLOOKUP(Q172,'1. Vân tay'!$F:$G,2,0),0)</f>
        <v>0</v>
      </c>
      <c r="S172" s="102">
        <f t="shared" si="260"/>
        <v>0</v>
      </c>
      <c r="T172" s="109">
        <v>0.33333333333333331</v>
      </c>
      <c r="U172" s="109">
        <v>0.5</v>
      </c>
      <c r="V172" s="109">
        <v>0.5625</v>
      </c>
      <c r="W172" s="109">
        <v>0.72916666666666663</v>
      </c>
      <c r="X172" s="102">
        <f>HDSD!$F$4</f>
        <v>5</v>
      </c>
      <c r="Y172" s="102">
        <f>SUMIFS('2. Đi muộn về sớm'!$K:$K,
'2. Đi muộn về sớm'!$B:$B,$A172,
'2. Đi muộn về sớm'!$D:$D,$J172)</f>
        <v>0</v>
      </c>
      <c r="Z172" s="110">
        <f t="shared" si="261"/>
        <v>0</v>
      </c>
      <c r="AA172" s="110">
        <f t="shared" si="262"/>
        <v>0</v>
      </c>
      <c r="AB172" s="111">
        <f t="shared" si="263"/>
        <v>0</v>
      </c>
      <c r="AC172" s="112">
        <f t="shared" si="201"/>
        <v>0</v>
      </c>
      <c r="AD172" s="113">
        <f t="shared" si="202"/>
        <v>0</v>
      </c>
      <c r="AE172" s="111">
        <f t="shared" si="264"/>
        <v>0</v>
      </c>
      <c r="AF172" s="113">
        <f t="shared" si="203"/>
        <v>0</v>
      </c>
      <c r="AG172" s="113">
        <f t="shared" si="204"/>
        <v>0</v>
      </c>
      <c r="AH172" s="114">
        <f t="shared" si="241"/>
        <v>0</v>
      </c>
      <c r="AI172" s="102" t="str">
        <f t="shared" si="205"/>
        <v/>
      </c>
      <c r="AJ172" s="102" t="str">
        <f t="shared" si="206"/>
        <v>NV11443786</v>
      </c>
      <c r="AK172" s="102" t="str">
        <f>IF(OR(J172&lt;D172,J172&gt;F172),"",
IFERROR(INDEX('3. Đơn xin nghỉ'!$K:$K,MATCH('4. Tổng hợp dữ liệu'!AJ172,'3. Đơn xin nghỉ'!$I:$I,0),1),
IF(AND(AU172="Không CC",I172&lt;&gt;1),"Ro:8","")))</f>
        <v/>
      </c>
      <c r="AL172" s="102" t="str">
        <f t="shared" si="207"/>
        <v>OFF</v>
      </c>
      <c r="AM172" s="102" t="str">
        <f t="shared" si="265"/>
        <v>OFF</v>
      </c>
      <c r="AN172" s="102" t="s">
        <v>93</v>
      </c>
      <c r="AO172" s="102"/>
      <c r="AP172" s="115">
        <f>IFERROR(VLOOKUP(AN172,'Quy đổi công'!A:D,3,0),0)</f>
        <v>0</v>
      </c>
      <c r="AQ172" s="115">
        <f>IFERROR(VLOOKUP(AN172,'Quy đổi công'!A:D,4,0),0)</f>
        <v>0</v>
      </c>
      <c r="AR172" s="115">
        <f t="shared" si="208"/>
        <v>0</v>
      </c>
      <c r="AS172" s="115">
        <f t="shared" si="266"/>
        <v>0</v>
      </c>
      <c r="AT172" s="115">
        <f t="shared" si="267"/>
        <v>0</v>
      </c>
      <c r="AU172" s="102" t="str">
        <f t="shared" si="209"/>
        <v>Không CC</v>
      </c>
      <c r="AV172" s="102" t="str">
        <f t="shared" si="210"/>
        <v/>
      </c>
      <c r="AW172" s="102" t="str">
        <f t="shared" si="211"/>
        <v/>
      </c>
      <c r="AX172" s="102" t="str">
        <f t="shared" si="212"/>
        <v/>
      </c>
      <c r="AY172" s="102" t="str">
        <f t="shared" si="213"/>
        <v/>
      </c>
      <c r="AZ172" s="102"/>
      <c r="BA172" s="102">
        <f>IF(AV172&lt;&gt;0,COUNTIFS($A$7:A172,A172,$AV$7:AV172,"Quên check in"))
+IF(AW172&lt;&gt;0,COUNTIFS($A$7:A172,A172,$AW$7:AW172,"Quên check in"))
+IF(AX172&lt;&gt;0,COUNTIFS($A$7:A172,A172,$AX$7:AX172,"Quên check out"))
+IF(AY172&lt;&gt;0,COUNTIFS($A$7:A172,A172,$AY$7:AY172,"Quên check out"))</f>
        <v>1</v>
      </c>
      <c r="BB172" s="143">
        <f t="shared" si="214"/>
        <v>0</v>
      </c>
    </row>
    <row r="173" spans="1:54" s="83" customFormat="1" ht="14.1" customHeight="1" x14ac:dyDescent="0.3">
      <c r="A173" s="103" t="s">
        <v>10</v>
      </c>
      <c r="B173" s="104" t="s">
        <v>19</v>
      </c>
      <c r="C173" s="105">
        <v>5000000</v>
      </c>
      <c r="D173" s="106">
        <v>43445</v>
      </c>
      <c r="E173" s="107">
        <v>43647</v>
      </c>
      <c r="F173" s="107">
        <v>73415</v>
      </c>
      <c r="G173" s="105">
        <v>26</v>
      </c>
      <c r="H173" s="105">
        <f t="shared" si="255"/>
        <v>1</v>
      </c>
      <c r="I173" s="105">
        <v>1</v>
      </c>
      <c r="J173" s="108">
        <v>43786</v>
      </c>
      <c r="K173" s="108" t="str">
        <f t="shared" si="256"/>
        <v>NV11843786VàoSáng</v>
      </c>
      <c r="L173" s="102">
        <f>IFERROR(VLOOKUP(K173,'1. Vân tay'!$F:$G,2,0),0)</f>
        <v>0</v>
      </c>
      <c r="M173" s="108" t="str">
        <f t="shared" si="257"/>
        <v>NV11843786RaSáng</v>
      </c>
      <c r="N173" s="102">
        <f>IFERROR(VLOOKUP(M173,'1. Vân tay'!$F:$G,2,0),0)</f>
        <v>0</v>
      </c>
      <c r="O173" s="108" t="str">
        <f t="shared" si="258"/>
        <v>NV11843786VàoChiều</v>
      </c>
      <c r="P173" s="102">
        <f>IFERROR(VLOOKUP(O173,'1. Vân tay'!$F:$G,2,0),0)</f>
        <v>0</v>
      </c>
      <c r="Q173" s="108" t="str">
        <f t="shared" si="259"/>
        <v>NV11843786RaChiều</v>
      </c>
      <c r="R173" s="102">
        <f>IFERROR(VLOOKUP(Q173,'1. Vân tay'!$F:$G,2,0),0)</f>
        <v>0</v>
      </c>
      <c r="S173" s="102">
        <f t="shared" si="260"/>
        <v>0</v>
      </c>
      <c r="T173" s="109">
        <v>0.33333333333333331</v>
      </c>
      <c r="U173" s="109">
        <v>0.5</v>
      </c>
      <c r="V173" s="109">
        <v>0.5625</v>
      </c>
      <c r="W173" s="109">
        <v>0.72916666666666663</v>
      </c>
      <c r="X173" s="102">
        <f>HDSD!$F$4</f>
        <v>5</v>
      </c>
      <c r="Y173" s="102">
        <f>SUMIFS('2. Đi muộn về sớm'!$K:$K,
'2. Đi muộn về sớm'!$B:$B,$A173,
'2. Đi muộn về sớm'!$D:$D,$J173)</f>
        <v>0</v>
      </c>
      <c r="Z173" s="110">
        <f t="shared" si="261"/>
        <v>0</v>
      </c>
      <c r="AA173" s="110">
        <f t="shared" si="262"/>
        <v>0</v>
      </c>
      <c r="AB173" s="111">
        <f t="shared" si="263"/>
        <v>0</v>
      </c>
      <c r="AC173" s="112">
        <f t="shared" si="201"/>
        <v>0</v>
      </c>
      <c r="AD173" s="113">
        <f t="shared" si="202"/>
        <v>0</v>
      </c>
      <c r="AE173" s="111">
        <f t="shared" si="264"/>
        <v>0</v>
      </c>
      <c r="AF173" s="113">
        <f t="shared" si="203"/>
        <v>0</v>
      </c>
      <c r="AG173" s="113">
        <f t="shared" si="204"/>
        <v>0</v>
      </c>
      <c r="AH173" s="114">
        <f t="shared" si="241"/>
        <v>0</v>
      </c>
      <c r="AI173" s="102" t="str">
        <f t="shared" si="205"/>
        <v/>
      </c>
      <c r="AJ173" s="102" t="str">
        <f t="shared" si="206"/>
        <v>NV11843786</v>
      </c>
      <c r="AK173" s="102" t="str">
        <f>IF(OR(J173&lt;D173,J173&gt;F173),"",
IFERROR(INDEX('3. Đơn xin nghỉ'!$K:$K,MATCH('4. Tổng hợp dữ liệu'!AJ173,'3. Đơn xin nghỉ'!$I:$I,0),1),
IF(AND(AU173="Không CC",I173&lt;&gt;1),"Ro:8","")))</f>
        <v/>
      </c>
      <c r="AL173" s="102" t="str">
        <f t="shared" si="207"/>
        <v>OFF</v>
      </c>
      <c r="AM173" s="102" t="str">
        <f t="shared" si="265"/>
        <v>OFF</v>
      </c>
      <c r="AN173" s="102" t="s">
        <v>93</v>
      </c>
      <c r="AO173" s="102"/>
      <c r="AP173" s="115">
        <f>IFERROR(VLOOKUP(AN173,'Quy đổi công'!A:D,3,0),0)</f>
        <v>0</v>
      </c>
      <c r="AQ173" s="115">
        <f>IFERROR(VLOOKUP(AN173,'Quy đổi công'!A:D,4,0),0)</f>
        <v>0</v>
      </c>
      <c r="AR173" s="115">
        <f t="shared" si="208"/>
        <v>0</v>
      </c>
      <c r="AS173" s="115">
        <f t="shared" si="266"/>
        <v>0</v>
      </c>
      <c r="AT173" s="115">
        <f t="shared" si="267"/>
        <v>0</v>
      </c>
      <c r="AU173" s="102" t="str">
        <f t="shared" si="209"/>
        <v>Không CC</v>
      </c>
      <c r="AV173" s="102" t="str">
        <f t="shared" si="210"/>
        <v/>
      </c>
      <c r="AW173" s="102" t="str">
        <f t="shared" si="211"/>
        <v/>
      </c>
      <c r="AX173" s="102" t="str">
        <f t="shared" si="212"/>
        <v/>
      </c>
      <c r="AY173" s="102" t="str">
        <f t="shared" si="213"/>
        <v/>
      </c>
      <c r="AZ173" s="102"/>
      <c r="BA173" s="102">
        <f>IF(AV173&lt;&gt;0,COUNTIFS($A$7:A173,A173,$AV$7:AV173,"Quên check in"))
+IF(AW173&lt;&gt;0,COUNTIFS($A$7:A173,A173,$AW$7:AW173,"Quên check in"))
+IF(AX173&lt;&gt;0,COUNTIFS($A$7:A173,A173,$AX$7:AX173,"Quên check out"))
+IF(AY173&lt;&gt;0,COUNTIFS($A$7:A173,A173,$AY$7:AY173,"Quên check out"))</f>
        <v>0</v>
      </c>
      <c r="BB173" s="143">
        <f t="shared" si="214"/>
        <v>0</v>
      </c>
    </row>
    <row r="174" spans="1:54" s="83" customFormat="1" ht="14.1" customHeight="1" x14ac:dyDescent="0.3">
      <c r="A174" s="103" t="s">
        <v>11</v>
      </c>
      <c r="B174" s="104" t="s">
        <v>20</v>
      </c>
      <c r="C174" s="105">
        <v>4700000</v>
      </c>
      <c r="D174" s="106">
        <v>43467</v>
      </c>
      <c r="E174" s="107">
        <v>43617</v>
      </c>
      <c r="F174" s="107">
        <v>73415</v>
      </c>
      <c r="G174" s="105">
        <v>26</v>
      </c>
      <c r="H174" s="105">
        <f t="shared" si="255"/>
        <v>1</v>
      </c>
      <c r="I174" s="105">
        <v>1</v>
      </c>
      <c r="J174" s="108">
        <v>43786</v>
      </c>
      <c r="K174" s="108" t="str">
        <f t="shared" si="256"/>
        <v>NV12243786VàoSáng</v>
      </c>
      <c r="L174" s="102">
        <f>IFERROR(VLOOKUP(K174,'1. Vân tay'!$F:$G,2,0),0)</f>
        <v>0</v>
      </c>
      <c r="M174" s="108" t="str">
        <f t="shared" si="257"/>
        <v>NV12243786RaSáng</v>
      </c>
      <c r="N174" s="102">
        <f>IFERROR(VLOOKUP(M174,'1. Vân tay'!$F:$G,2,0),0)</f>
        <v>0</v>
      </c>
      <c r="O174" s="108" t="str">
        <f t="shared" si="258"/>
        <v>NV12243786VàoChiều</v>
      </c>
      <c r="P174" s="102">
        <f>IFERROR(VLOOKUP(O174,'1. Vân tay'!$F:$G,2,0),0)</f>
        <v>0</v>
      </c>
      <c r="Q174" s="108" t="str">
        <f t="shared" si="259"/>
        <v>NV12243786RaChiều</v>
      </c>
      <c r="R174" s="102">
        <f>IFERROR(VLOOKUP(Q174,'1. Vân tay'!$F:$G,2,0),0)</f>
        <v>0</v>
      </c>
      <c r="S174" s="102">
        <f t="shared" si="260"/>
        <v>0</v>
      </c>
      <c r="T174" s="109">
        <v>0.33333333333333331</v>
      </c>
      <c r="U174" s="109">
        <v>0.5</v>
      </c>
      <c r="V174" s="109">
        <v>0.5625</v>
      </c>
      <c r="W174" s="109">
        <v>0.72916666666666663</v>
      </c>
      <c r="X174" s="102">
        <f>HDSD!$F$4</f>
        <v>5</v>
      </c>
      <c r="Y174" s="102">
        <f>SUMIFS('2. Đi muộn về sớm'!$K:$K,
'2. Đi muộn về sớm'!$B:$B,$A174,
'2. Đi muộn về sớm'!$D:$D,$J174)</f>
        <v>0</v>
      </c>
      <c r="Z174" s="110">
        <f t="shared" si="261"/>
        <v>0</v>
      </c>
      <c r="AA174" s="110">
        <f t="shared" si="262"/>
        <v>0</v>
      </c>
      <c r="AB174" s="111">
        <f t="shared" si="263"/>
        <v>0</v>
      </c>
      <c r="AC174" s="112">
        <f t="shared" si="201"/>
        <v>0</v>
      </c>
      <c r="AD174" s="113">
        <f t="shared" si="202"/>
        <v>0</v>
      </c>
      <c r="AE174" s="111">
        <f t="shared" si="264"/>
        <v>0</v>
      </c>
      <c r="AF174" s="113">
        <f t="shared" si="203"/>
        <v>0</v>
      </c>
      <c r="AG174" s="113">
        <f t="shared" si="204"/>
        <v>0</v>
      </c>
      <c r="AH174" s="114">
        <f t="shared" si="241"/>
        <v>0</v>
      </c>
      <c r="AI174" s="102" t="str">
        <f t="shared" si="205"/>
        <v/>
      </c>
      <c r="AJ174" s="102" t="str">
        <f t="shared" si="206"/>
        <v>NV12243786</v>
      </c>
      <c r="AK174" s="102" t="str">
        <f>IF(OR(J174&lt;D174,J174&gt;F174),"",
IFERROR(INDEX('3. Đơn xin nghỉ'!$K:$K,MATCH('4. Tổng hợp dữ liệu'!AJ174,'3. Đơn xin nghỉ'!$I:$I,0),1),
IF(AND(AU174="Không CC",I174&lt;&gt;1),"Ro:8","")))</f>
        <v/>
      </c>
      <c r="AL174" s="102" t="str">
        <f t="shared" si="207"/>
        <v>OFF</v>
      </c>
      <c r="AM174" s="102" t="str">
        <f t="shared" si="265"/>
        <v>OFF</v>
      </c>
      <c r="AN174" s="102" t="s">
        <v>93</v>
      </c>
      <c r="AO174" s="102"/>
      <c r="AP174" s="115">
        <f>IFERROR(VLOOKUP(AN174,'Quy đổi công'!A:D,3,0),0)</f>
        <v>0</v>
      </c>
      <c r="AQ174" s="115">
        <f>IFERROR(VLOOKUP(AN174,'Quy đổi công'!A:D,4,0),0)</f>
        <v>0</v>
      </c>
      <c r="AR174" s="115">
        <f t="shared" si="208"/>
        <v>0</v>
      </c>
      <c r="AS174" s="115">
        <f t="shared" si="266"/>
        <v>0</v>
      </c>
      <c r="AT174" s="115">
        <f t="shared" si="267"/>
        <v>0</v>
      </c>
      <c r="AU174" s="102" t="str">
        <f t="shared" si="209"/>
        <v>Không CC</v>
      </c>
      <c r="AV174" s="102" t="str">
        <f t="shared" si="210"/>
        <v/>
      </c>
      <c r="AW174" s="102" t="str">
        <f t="shared" si="211"/>
        <v/>
      </c>
      <c r="AX174" s="102" t="str">
        <f t="shared" si="212"/>
        <v/>
      </c>
      <c r="AY174" s="102" t="str">
        <f t="shared" si="213"/>
        <v/>
      </c>
      <c r="AZ174" s="102"/>
      <c r="BA174" s="102">
        <f>IF(AV174&lt;&gt;0,COUNTIFS($A$7:A174,A174,$AV$7:AV174,"Quên check in"))
+IF(AW174&lt;&gt;0,COUNTIFS($A$7:A174,A174,$AW$7:AW174,"Quên check in"))
+IF(AX174&lt;&gt;0,COUNTIFS($A$7:A174,A174,$AX$7:AX174,"Quên check out"))
+IF(AY174&lt;&gt;0,COUNTIFS($A$7:A174,A174,$AY$7:AY174,"Quên check out"))</f>
        <v>1</v>
      </c>
      <c r="BB174" s="143">
        <f t="shared" si="214"/>
        <v>0</v>
      </c>
    </row>
    <row r="175" spans="1:54" s="83" customFormat="1" ht="14.1" customHeight="1" x14ac:dyDescent="0.3">
      <c r="A175" s="103" t="s">
        <v>12</v>
      </c>
      <c r="B175" s="104" t="s">
        <v>21</v>
      </c>
      <c r="C175" s="105">
        <v>5000000</v>
      </c>
      <c r="D175" s="106">
        <v>43482</v>
      </c>
      <c r="E175" s="107">
        <v>43647</v>
      </c>
      <c r="F175" s="107">
        <v>73415</v>
      </c>
      <c r="G175" s="105">
        <v>26</v>
      </c>
      <c r="H175" s="105">
        <f t="shared" si="255"/>
        <v>1</v>
      </c>
      <c r="I175" s="105">
        <v>1</v>
      </c>
      <c r="J175" s="108">
        <v>43786</v>
      </c>
      <c r="K175" s="108" t="str">
        <f t="shared" si="256"/>
        <v>NV12343786VàoSáng</v>
      </c>
      <c r="L175" s="102">
        <f>IFERROR(VLOOKUP(K175,'1. Vân tay'!$F:$G,2,0),0)</f>
        <v>0</v>
      </c>
      <c r="M175" s="108" t="str">
        <f t="shared" si="257"/>
        <v>NV12343786RaSáng</v>
      </c>
      <c r="N175" s="102">
        <f>IFERROR(VLOOKUP(M175,'1. Vân tay'!$F:$G,2,0),0)</f>
        <v>0</v>
      </c>
      <c r="O175" s="108" t="str">
        <f t="shared" si="258"/>
        <v>NV12343786VàoChiều</v>
      </c>
      <c r="P175" s="102">
        <f>IFERROR(VLOOKUP(O175,'1. Vân tay'!$F:$G,2,0),0)</f>
        <v>0</v>
      </c>
      <c r="Q175" s="108" t="str">
        <f t="shared" si="259"/>
        <v>NV12343786RaChiều</v>
      </c>
      <c r="R175" s="102">
        <f>IFERROR(VLOOKUP(Q175,'1. Vân tay'!$F:$G,2,0),0)</f>
        <v>0</v>
      </c>
      <c r="S175" s="102">
        <f t="shared" si="260"/>
        <v>0</v>
      </c>
      <c r="T175" s="109">
        <v>0.33333333333333331</v>
      </c>
      <c r="U175" s="109">
        <v>0.5</v>
      </c>
      <c r="V175" s="109">
        <v>0.5625</v>
      </c>
      <c r="W175" s="109">
        <v>0.72916666666666663</v>
      </c>
      <c r="X175" s="102">
        <f>HDSD!$F$4</f>
        <v>5</v>
      </c>
      <c r="Y175" s="102">
        <f>SUMIFS('2. Đi muộn về sớm'!$K:$K,
'2. Đi muộn về sớm'!$B:$B,$A175,
'2. Đi muộn về sớm'!$D:$D,$J175)</f>
        <v>0</v>
      </c>
      <c r="Z175" s="110">
        <f t="shared" si="261"/>
        <v>0</v>
      </c>
      <c r="AA175" s="110">
        <f t="shared" si="262"/>
        <v>0</v>
      </c>
      <c r="AB175" s="111">
        <f t="shared" si="263"/>
        <v>0</v>
      </c>
      <c r="AC175" s="112">
        <f t="shared" si="201"/>
        <v>0</v>
      </c>
      <c r="AD175" s="113">
        <f t="shared" si="202"/>
        <v>0</v>
      </c>
      <c r="AE175" s="111">
        <f t="shared" si="264"/>
        <v>0</v>
      </c>
      <c r="AF175" s="113">
        <f t="shared" si="203"/>
        <v>0</v>
      </c>
      <c r="AG175" s="113">
        <f t="shared" si="204"/>
        <v>0</v>
      </c>
      <c r="AH175" s="114">
        <f t="shared" si="241"/>
        <v>0</v>
      </c>
      <c r="AI175" s="102" t="str">
        <f t="shared" si="205"/>
        <v/>
      </c>
      <c r="AJ175" s="102" t="str">
        <f t="shared" si="206"/>
        <v>NV12343786</v>
      </c>
      <c r="AK175" s="102" t="str">
        <f>IF(OR(J175&lt;D175,J175&gt;F175),"",
IFERROR(INDEX('3. Đơn xin nghỉ'!$K:$K,MATCH('4. Tổng hợp dữ liệu'!AJ175,'3. Đơn xin nghỉ'!$I:$I,0),1),
IF(AND(AU175="Không CC",I175&lt;&gt;1),"Ro:8","")))</f>
        <v/>
      </c>
      <c r="AL175" s="102" t="str">
        <f t="shared" si="207"/>
        <v>OFF</v>
      </c>
      <c r="AM175" s="102" t="str">
        <f t="shared" si="265"/>
        <v>OFF</v>
      </c>
      <c r="AN175" s="102" t="s">
        <v>93</v>
      </c>
      <c r="AO175" s="102"/>
      <c r="AP175" s="115">
        <f>IFERROR(VLOOKUP(AN175,'Quy đổi công'!A:D,3,0),0)</f>
        <v>0</v>
      </c>
      <c r="AQ175" s="115">
        <f>IFERROR(VLOOKUP(AN175,'Quy đổi công'!A:D,4,0),0)</f>
        <v>0</v>
      </c>
      <c r="AR175" s="115">
        <f t="shared" si="208"/>
        <v>0</v>
      </c>
      <c r="AS175" s="115">
        <f t="shared" si="266"/>
        <v>0</v>
      </c>
      <c r="AT175" s="115">
        <f t="shared" si="267"/>
        <v>0</v>
      </c>
      <c r="AU175" s="102" t="str">
        <f t="shared" si="209"/>
        <v>Không CC</v>
      </c>
      <c r="AV175" s="102" t="str">
        <f t="shared" si="210"/>
        <v/>
      </c>
      <c r="AW175" s="102" t="str">
        <f t="shared" si="211"/>
        <v/>
      </c>
      <c r="AX175" s="102" t="str">
        <f t="shared" si="212"/>
        <v/>
      </c>
      <c r="AY175" s="102" t="str">
        <f t="shared" si="213"/>
        <v/>
      </c>
      <c r="AZ175" s="102"/>
      <c r="BA175" s="102">
        <f>IF(AV175&lt;&gt;0,COUNTIFS($A$7:A175,A175,$AV$7:AV175,"Quên check in"))
+IF(AW175&lt;&gt;0,COUNTIFS($A$7:A175,A175,$AW$7:AW175,"Quên check in"))
+IF(AX175&lt;&gt;0,COUNTIFS($A$7:A175,A175,$AX$7:AX175,"Quên check out"))
+IF(AY175&lt;&gt;0,COUNTIFS($A$7:A175,A175,$AY$7:AY175,"Quên check out"))</f>
        <v>0</v>
      </c>
      <c r="BB175" s="143">
        <f t="shared" si="214"/>
        <v>0</v>
      </c>
    </row>
    <row r="176" spans="1:54" s="83" customFormat="1" ht="14.1" customHeight="1" x14ac:dyDescent="0.3">
      <c r="A176" s="103" t="s">
        <v>13</v>
      </c>
      <c r="B176" s="104" t="s">
        <v>22</v>
      </c>
      <c r="C176" s="105">
        <v>4700000</v>
      </c>
      <c r="D176" s="106">
        <v>43531</v>
      </c>
      <c r="E176" s="107">
        <v>43647</v>
      </c>
      <c r="F176" s="107">
        <v>73415</v>
      </c>
      <c r="G176" s="105">
        <v>26</v>
      </c>
      <c r="H176" s="105">
        <f t="shared" si="255"/>
        <v>1</v>
      </c>
      <c r="I176" s="105">
        <v>1</v>
      </c>
      <c r="J176" s="108">
        <v>43786</v>
      </c>
      <c r="K176" s="108" t="str">
        <f t="shared" si="256"/>
        <v>NV12643786VàoSáng</v>
      </c>
      <c r="L176" s="102">
        <f>IFERROR(VLOOKUP(K176,'1. Vân tay'!$F:$G,2,0),0)</f>
        <v>0</v>
      </c>
      <c r="M176" s="108" t="str">
        <f t="shared" si="257"/>
        <v>NV12643786RaSáng</v>
      </c>
      <c r="N176" s="102">
        <f>IFERROR(VLOOKUP(M176,'1. Vân tay'!$F:$G,2,0),0)</f>
        <v>0</v>
      </c>
      <c r="O176" s="108" t="str">
        <f t="shared" si="258"/>
        <v>NV12643786VàoChiều</v>
      </c>
      <c r="P176" s="102">
        <f>IFERROR(VLOOKUP(O176,'1. Vân tay'!$F:$G,2,0),0)</f>
        <v>0</v>
      </c>
      <c r="Q176" s="108" t="str">
        <f t="shared" si="259"/>
        <v>NV12643786RaChiều</v>
      </c>
      <c r="R176" s="102">
        <f>IFERROR(VLOOKUP(Q176,'1. Vân tay'!$F:$G,2,0),0)</f>
        <v>0</v>
      </c>
      <c r="S176" s="102">
        <f t="shared" si="260"/>
        <v>0</v>
      </c>
      <c r="T176" s="109">
        <v>0.33333333333333331</v>
      </c>
      <c r="U176" s="109">
        <v>0.5</v>
      </c>
      <c r="V176" s="109">
        <v>0.5625</v>
      </c>
      <c r="W176" s="109">
        <v>0.72916666666666663</v>
      </c>
      <c r="X176" s="102">
        <f>HDSD!$F$4</f>
        <v>5</v>
      </c>
      <c r="Y176" s="102">
        <f>SUMIFS('2. Đi muộn về sớm'!$K:$K,
'2. Đi muộn về sớm'!$B:$B,$A176,
'2. Đi muộn về sớm'!$D:$D,$J176)</f>
        <v>0</v>
      </c>
      <c r="Z176" s="110">
        <f t="shared" si="261"/>
        <v>0</v>
      </c>
      <c r="AA176" s="110">
        <f t="shared" si="262"/>
        <v>0</v>
      </c>
      <c r="AB176" s="111">
        <f t="shared" si="263"/>
        <v>0</v>
      </c>
      <c r="AC176" s="112">
        <f t="shared" si="201"/>
        <v>0</v>
      </c>
      <c r="AD176" s="113">
        <f t="shared" si="202"/>
        <v>0</v>
      </c>
      <c r="AE176" s="111">
        <f t="shared" si="264"/>
        <v>0</v>
      </c>
      <c r="AF176" s="113">
        <f t="shared" si="203"/>
        <v>0</v>
      </c>
      <c r="AG176" s="113">
        <f t="shared" si="204"/>
        <v>0</v>
      </c>
      <c r="AH176" s="114">
        <f t="shared" si="241"/>
        <v>0</v>
      </c>
      <c r="AI176" s="102" t="str">
        <f t="shared" si="205"/>
        <v/>
      </c>
      <c r="AJ176" s="102" t="str">
        <f t="shared" si="206"/>
        <v>NV12643786</v>
      </c>
      <c r="AK176" s="102" t="str">
        <f>IF(OR(J176&lt;D176,J176&gt;F176),"",
IFERROR(INDEX('3. Đơn xin nghỉ'!$K:$K,MATCH('4. Tổng hợp dữ liệu'!AJ176,'3. Đơn xin nghỉ'!$I:$I,0),1),
IF(AND(AU176="Không CC",I176&lt;&gt;1),"Ro:8","")))</f>
        <v/>
      </c>
      <c r="AL176" s="102" t="str">
        <f t="shared" si="207"/>
        <v>OFF</v>
      </c>
      <c r="AM176" s="102" t="str">
        <f t="shared" si="265"/>
        <v>OFF</v>
      </c>
      <c r="AN176" s="102" t="s">
        <v>93</v>
      </c>
      <c r="AO176" s="102"/>
      <c r="AP176" s="115">
        <f>IFERROR(VLOOKUP(AN176,'Quy đổi công'!A:D,3,0),0)</f>
        <v>0</v>
      </c>
      <c r="AQ176" s="115">
        <f>IFERROR(VLOOKUP(AN176,'Quy đổi công'!A:D,4,0),0)</f>
        <v>0</v>
      </c>
      <c r="AR176" s="115">
        <f t="shared" si="208"/>
        <v>0</v>
      </c>
      <c r="AS176" s="115">
        <f t="shared" si="266"/>
        <v>0</v>
      </c>
      <c r="AT176" s="115">
        <f t="shared" si="267"/>
        <v>0</v>
      </c>
      <c r="AU176" s="102" t="str">
        <f t="shared" si="209"/>
        <v>Không CC</v>
      </c>
      <c r="AV176" s="102" t="str">
        <f t="shared" si="210"/>
        <v/>
      </c>
      <c r="AW176" s="102" t="str">
        <f t="shared" si="211"/>
        <v/>
      </c>
      <c r="AX176" s="102" t="str">
        <f t="shared" si="212"/>
        <v/>
      </c>
      <c r="AY176" s="102" t="str">
        <f t="shared" si="213"/>
        <v/>
      </c>
      <c r="AZ176" s="102"/>
      <c r="BA176" s="102">
        <f>IF(AV176&lt;&gt;0,COUNTIFS($A$7:A176,A176,$AV$7:AV176,"Quên check in"))
+IF(AW176&lt;&gt;0,COUNTIFS($A$7:A176,A176,$AW$7:AW176,"Quên check in"))
+IF(AX176&lt;&gt;0,COUNTIFS($A$7:A176,A176,$AX$7:AX176,"Quên check out"))
+IF(AY176&lt;&gt;0,COUNTIFS($A$7:A176,A176,$AY$7:AY176,"Quên check out"))</f>
        <v>0</v>
      </c>
      <c r="BB176" s="143">
        <f t="shared" si="214"/>
        <v>0</v>
      </c>
    </row>
    <row r="177" spans="1:54" s="83" customFormat="1" ht="14.1" customHeight="1" x14ac:dyDescent="0.3">
      <c r="A177" s="103" t="s">
        <v>4</v>
      </c>
      <c r="B177" s="104" t="s">
        <v>14</v>
      </c>
      <c r="C177" s="105">
        <v>4700000</v>
      </c>
      <c r="D177" s="106">
        <v>43388</v>
      </c>
      <c r="E177" s="107">
        <v>43525</v>
      </c>
      <c r="F177" s="107">
        <v>73415</v>
      </c>
      <c r="G177" s="105">
        <v>26</v>
      </c>
      <c r="H177" s="105">
        <f t="shared" ref="H177:H186" si="268">WEEKDAY(J177,1)</f>
        <v>2</v>
      </c>
      <c r="I177" s="105"/>
      <c r="J177" s="108">
        <v>43787</v>
      </c>
      <c r="K177" s="108" t="str">
        <f t="shared" ref="K177:K186" si="269">$A177&amp;$J177&amp;"Vào"&amp;"Sáng"</f>
        <v>NV10143787VàoSáng</v>
      </c>
      <c r="L177" s="102" t="str">
        <f>IFERROR(VLOOKUP(K177,'1. Vân tay'!$F:$G,2,0),0)</f>
        <v>08:01:21</v>
      </c>
      <c r="M177" s="108" t="str">
        <f t="shared" ref="M177:M186" si="270">$A177&amp;$J177&amp;"Ra"&amp;"Sáng"</f>
        <v>NV10143787RaSáng</v>
      </c>
      <c r="N177" s="102">
        <f>IFERROR(VLOOKUP(M177,'1. Vân tay'!$F:$G,2,0),0)</f>
        <v>0</v>
      </c>
      <c r="O177" s="108" t="str">
        <f t="shared" ref="O177:O186" si="271">$A177&amp;$J177&amp;"Vào"&amp;"Chiều"</f>
        <v>NV10143787VàoChiều</v>
      </c>
      <c r="P177" s="102">
        <f>IFERROR(VLOOKUP(O177,'1. Vân tay'!$F:$G,2,0),0)</f>
        <v>0</v>
      </c>
      <c r="Q177" s="108" t="str">
        <f t="shared" ref="Q177:Q186" si="272">$A177&amp;$J177&amp;"Ra"&amp;"Chiều"</f>
        <v>NV10143787RaChiều</v>
      </c>
      <c r="R177" s="102" t="str">
        <f>IFERROR(VLOOKUP(Q177,'1. Vân tay'!$F:$G,2,0),0)</f>
        <v>17:32:01</v>
      </c>
      <c r="S177" s="102">
        <f t="shared" ref="S177:S186" si="273">IF(OR(
(AND(L177&lt;&gt;0,P177&lt;&gt;0)),
(AND(N177&lt;&gt;0,R177&lt;&gt;0))),"Kiểm tra",0)</f>
        <v>0</v>
      </c>
      <c r="T177" s="109">
        <v>0.33333333333333331</v>
      </c>
      <c r="U177" s="109">
        <v>0.5</v>
      </c>
      <c r="V177" s="109">
        <v>0.5625</v>
      </c>
      <c r="W177" s="109">
        <v>0.72916666666666663</v>
      </c>
      <c r="X177" s="102">
        <f>HDSD!$F$4</f>
        <v>5</v>
      </c>
      <c r="Y177" s="102">
        <f>SUMIFS('2. Đi muộn về sớm'!$K:$K,
'2. Đi muộn về sớm'!$B:$B,$A177,
'2. Đi muộn về sớm'!$D:$D,$J177)</f>
        <v>0</v>
      </c>
      <c r="Z177" s="110">
        <f t="shared" ref="Z177:Z186" si="274">IF(L177=0,0,IFERROR((HOUR(L177-T177)*60+MINUTE(L177-T177)+SECOND(L177-T177)/60),0))
+IF(N177=0,0, IFERROR((HOUR(U177-N177)*60+MINUTE(U177-N177)+SECOND(U177-N177)/60),0))
+IF(P177=0,0, IFERROR((HOUR(P177-V177)*60+MINUTE(P177-V177)+SECOND(P177-V177)/60),0))
+IF(R177=0,0, IFERROR((HOUR(W177-R177)*60+MINUTE(W177-R177)+SECOND(W177-R177)/60),0))</f>
        <v>1.35</v>
      </c>
      <c r="AA177" s="110">
        <f t="shared" ref="AA177:AA186" si="275">IF(L177=0,0,IFERROR((HOUR(L177-"09:00:00")*60+MINUTE(L177-"09:00:00")+SECOND(L177-"09:00:00")/60),0))
+IF(N177=0,0, IFERROR((HOUR(U177-N177)*60+MINUTE(U177-N177)+SECOND(U177-N177)/60),0))
+IF(P177=0,0, IFERROR((HOUR(P177-V177)*60+MINUTE(P177-V177)+SECOND(P177-V177)/60),0))
+IF(R177=0,0, IFERROR((HOUR("16:30:00"-R177)*60+MINUTE("16:30:00"-R177)+SECOND("16:30:00"-R177)/60),0))</f>
        <v>0</v>
      </c>
      <c r="AB177" s="111">
        <f t="shared" ref="AB177:AB186" si="276">Z177-AA177</f>
        <v>1.35</v>
      </c>
      <c r="AC177" s="112">
        <f t="shared" si="201"/>
        <v>0</v>
      </c>
      <c r="AD177" s="113">
        <f t="shared" si="202"/>
        <v>0</v>
      </c>
      <c r="AE177" s="111">
        <f t="shared" ref="AE177:AE186" si="277">AA177/60/8</f>
        <v>0</v>
      </c>
      <c r="AF177" s="113">
        <f t="shared" si="203"/>
        <v>0</v>
      </c>
      <c r="AG177" s="113">
        <f t="shared" si="204"/>
        <v>0</v>
      </c>
      <c r="AH177" s="114">
        <f t="shared" si="241"/>
        <v>9.5111111111111111</v>
      </c>
      <c r="AI177" s="102" t="str">
        <f t="shared" si="205"/>
        <v>X:8</v>
      </c>
      <c r="AJ177" s="102" t="str">
        <f t="shared" si="206"/>
        <v>NV10143787</v>
      </c>
      <c r="AK177" s="102" t="str">
        <f>IF(OR(J177&lt;D177,J177&gt;F177),"",
IFERROR(INDEX('3. Đơn xin nghỉ'!$K:$K,MATCH('4. Tổng hợp dữ liệu'!AJ177,'3. Đơn xin nghỉ'!$I:$I,0),1),
IF(AND(AU177="Không CC",I177&lt;&gt;1),"Ro:8","")))</f>
        <v/>
      </c>
      <c r="AL177" s="102" t="str">
        <f t="shared" si="207"/>
        <v/>
      </c>
      <c r="AM177" s="102" t="str">
        <f t="shared" ref="AM177:AM186" si="278">IF(OR(AI177="",AK177=""),AI177&amp;AK177,AI177&amp;","&amp;AK177)&amp;AL177</f>
        <v>X:8</v>
      </c>
      <c r="AN177" s="102" t="s">
        <v>92</v>
      </c>
      <c r="AO177" s="102"/>
      <c r="AP177" s="115">
        <f>IFERROR(VLOOKUP(AN177,'Quy đổi công'!A:D,3,0),0)</f>
        <v>1</v>
      </c>
      <c r="AQ177" s="115">
        <f>IFERROR(VLOOKUP(AN177,'Quy đổi công'!A:D,4,0),0)</f>
        <v>0</v>
      </c>
      <c r="AR177" s="115">
        <f t="shared" si="208"/>
        <v>0</v>
      </c>
      <c r="AS177" s="115">
        <f t="shared" ref="AS177:AS186" si="279">AP177-AR177</f>
        <v>1</v>
      </c>
      <c r="AT177" s="115">
        <f t="shared" ref="AT177:AT186" si="280">IF(AN177="P8",1)
+IF(OR(AN177="X:4,P:4",AN177="P:4,Rv:4",AN177="P:4,Ro:4"),1/2)</f>
        <v>0</v>
      </c>
      <c r="AU177" s="102" t="str">
        <f t="shared" si="209"/>
        <v/>
      </c>
      <c r="AV177" s="102" t="str">
        <f t="shared" si="210"/>
        <v/>
      </c>
      <c r="AW177" s="102" t="str">
        <f t="shared" si="211"/>
        <v/>
      </c>
      <c r="AX177" s="102" t="str">
        <f t="shared" si="212"/>
        <v/>
      </c>
      <c r="AY177" s="102" t="str">
        <f t="shared" si="213"/>
        <v/>
      </c>
      <c r="AZ177" s="102"/>
      <c r="BA177" s="102">
        <f>IF(AV177&lt;&gt;0,COUNTIFS($A$7:A177,A177,$AV$7:AV177,"Quên check in"))
+IF(AW177&lt;&gt;0,COUNTIFS($A$7:A177,A177,$AW$7:AW177,"Quên check in"))
+IF(AX177&lt;&gt;0,COUNTIFS($A$7:A177,A177,$AX$7:AX177,"Quên check out"))
+IF(AY177&lt;&gt;0,COUNTIFS($A$7:A177,A177,$AY$7:AY177,"Quên check out"))</f>
        <v>0</v>
      </c>
      <c r="BB177" s="143">
        <f t="shared" si="214"/>
        <v>0</v>
      </c>
    </row>
    <row r="178" spans="1:54" s="83" customFormat="1" ht="14.1" customHeight="1" x14ac:dyDescent="0.3">
      <c r="A178" s="103" t="s">
        <v>5</v>
      </c>
      <c r="B178" s="104" t="s">
        <v>28</v>
      </c>
      <c r="C178" s="105">
        <v>10000000</v>
      </c>
      <c r="D178" s="106">
        <v>43409</v>
      </c>
      <c r="E178" s="107">
        <v>43678</v>
      </c>
      <c r="F178" s="107">
        <v>73415</v>
      </c>
      <c r="G178" s="105">
        <v>26</v>
      </c>
      <c r="H178" s="105">
        <f t="shared" si="268"/>
        <v>2</v>
      </c>
      <c r="I178" s="105"/>
      <c r="J178" s="108">
        <v>43787</v>
      </c>
      <c r="K178" s="108" t="str">
        <f t="shared" si="269"/>
        <v>NV10743787VàoSáng</v>
      </c>
      <c r="L178" s="102" t="str">
        <f>IFERROR(VLOOKUP(K178,'1. Vân tay'!$F:$G,2,0),0)</f>
        <v>08:00:32</v>
      </c>
      <c r="M178" s="108" t="str">
        <f t="shared" si="270"/>
        <v>NV10743787RaSáng</v>
      </c>
      <c r="N178" s="102">
        <f>IFERROR(VLOOKUP(M178,'1. Vân tay'!$F:$G,2,0),0)</f>
        <v>0</v>
      </c>
      <c r="O178" s="108" t="str">
        <f t="shared" si="271"/>
        <v>NV10743787VàoChiều</v>
      </c>
      <c r="P178" s="102">
        <f>IFERROR(VLOOKUP(O178,'1. Vân tay'!$F:$G,2,0),0)</f>
        <v>0</v>
      </c>
      <c r="Q178" s="108" t="str">
        <f t="shared" si="272"/>
        <v>NV10743787RaChiều</v>
      </c>
      <c r="R178" s="102">
        <f>IFERROR(VLOOKUP(Q178,'1. Vân tay'!$F:$G,2,0),0)</f>
        <v>0</v>
      </c>
      <c r="S178" s="102">
        <f t="shared" si="273"/>
        <v>0</v>
      </c>
      <c r="T178" s="109">
        <v>0.33333333333333331</v>
      </c>
      <c r="U178" s="109">
        <v>0.5</v>
      </c>
      <c r="V178" s="109">
        <v>0.5625</v>
      </c>
      <c r="W178" s="109">
        <v>0.72916666666666663</v>
      </c>
      <c r="X178" s="102">
        <f>HDSD!$F$4</f>
        <v>5</v>
      </c>
      <c r="Y178" s="102">
        <f>SUMIFS('2. Đi muộn về sớm'!$K:$K,
'2. Đi muộn về sớm'!$B:$B,$A178,
'2. Đi muộn về sớm'!$D:$D,$J178)</f>
        <v>0</v>
      </c>
      <c r="Z178" s="110">
        <f t="shared" si="274"/>
        <v>0.53333333333333333</v>
      </c>
      <c r="AA178" s="110">
        <f t="shared" si="275"/>
        <v>0</v>
      </c>
      <c r="AB178" s="111">
        <f t="shared" si="276"/>
        <v>0.53333333333333333</v>
      </c>
      <c r="AC178" s="112">
        <f t="shared" si="201"/>
        <v>0</v>
      </c>
      <c r="AD178" s="113">
        <f t="shared" si="202"/>
        <v>0</v>
      </c>
      <c r="AE178" s="111">
        <f t="shared" si="277"/>
        <v>0</v>
      </c>
      <c r="AF178" s="113">
        <f t="shared" si="203"/>
        <v>0</v>
      </c>
      <c r="AG178" s="113">
        <f t="shared" si="204"/>
        <v>0</v>
      </c>
      <c r="AH178" s="114">
        <f t="shared" si="241"/>
        <v>3.9911111111111111</v>
      </c>
      <c r="AI178" s="102" t="str">
        <f t="shared" si="205"/>
        <v>X:4</v>
      </c>
      <c r="AJ178" s="102" t="str">
        <f t="shared" si="206"/>
        <v>NV10743787</v>
      </c>
      <c r="AK178" s="102" t="str">
        <f>IF(OR(J178&lt;D178,J178&gt;F178),"",
IFERROR(INDEX('3. Đơn xin nghỉ'!$K:$K,MATCH('4. Tổng hợp dữ liệu'!AJ178,'3. Đơn xin nghỉ'!$I:$I,0),1),
IF(AND(AU178="Không CC",I178&lt;&gt;1),"Ro:8","")))</f>
        <v>P:4</v>
      </c>
      <c r="AL178" s="102" t="str">
        <f t="shared" si="207"/>
        <v/>
      </c>
      <c r="AM178" s="102" t="str">
        <f t="shared" si="278"/>
        <v>X:4,P:4</v>
      </c>
      <c r="AN178" s="102" t="s">
        <v>137</v>
      </c>
      <c r="AO178" s="102"/>
      <c r="AP178" s="115">
        <f>IFERROR(VLOOKUP(AN178,'Quy đổi công'!A:D,3,0),0)</f>
        <v>1</v>
      </c>
      <c r="AQ178" s="115">
        <f>IFERROR(VLOOKUP(AN178,'Quy đổi công'!A:D,4,0),0)</f>
        <v>0</v>
      </c>
      <c r="AR178" s="115">
        <f t="shared" si="208"/>
        <v>0</v>
      </c>
      <c r="AS178" s="115">
        <f t="shared" si="279"/>
        <v>1</v>
      </c>
      <c r="AT178" s="115">
        <f t="shared" si="280"/>
        <v>0.5</v>
      </c>
      <c r="AU178" s="102" t="str">
        <f t="shared" si="209"/>
        <v/>
      </c>
      <c r="AV178" s="102" t="str">
        <f t="shared" si="210"/>
        <v/>
      </c>
      <c r="AW178" s="102" t="str">
        <f t="shared" si="211"/>
        <v/>
      </c>
      <c r="AX178" s="102" t="str">
        <f t="shared" si="212"/>
        <v>Quên check out</v>
      </c>
      <c r="AY178" s="102" t="str">
        <f t="shared" si="213"/>
        <v/>
      </c>
      <c r="AZ178" s="102" t="s">
        <v>230</v>
      </c>
      <c r="BA178" s="102">
        <f>IF(AV178&lt;&gt;0,COUNTIFS($A$7:A178,A178,$AV$7:AV178,"Quên check in"))
+IF(AW178&lt;&gt;0,COUNTIFS($A$7:A178,A178,$AW$7:AW178,"Quên check in"))
+IF(AX178&lt;&gt;0,COUNTIFS($A$7:A178,A178,$AX$7:AX178,"Quên check out"))
+IF(AY178&lt;&gt;0,COUNTIFS($A$7:A178,A178,$AY$7:AY178,"Quên check out"))</f>
        <v>3</v>
      </c>
      <c r="BB178" s="143">
        <f t="shared" si="214"/>
        <v>50000</v>
      </c>
    </row>
    <row r="179" spans="1:54" s="83" customFormat="1" ht="14.1" customHeight="1" x14ac:dyDescent="0.3">
      <c r="A179" s="103" t="s">
        <v>6</v>
      </c>
      <c r="B179" s="104" t="s">
        <v>15</v>
      </c>
      <c r="C179" s="105">
        <v>4700000</v>
      </c>
      <c r="D179" s="106">
        <v>43409</v>
      </c>
      <c r="E179" s="107">
        <v>43617</v>
      </c>
      <c r="F179" s="107">
        <v>73415</v>
      </c>
      <c r="G179" s="105">
        <v>26</v>
      </c>
      <c r="H179" s="105">
        <f t="shared" si="268"/>
        <v>2</v>
      </c>
      <c r="I179" s="105"/>
      <c r="J179" s="108">
        <v>43787</v>
      </c>
      <c r="K179" s="108" t="str">
        <f t="shared" si="269"/>
        <v>NV10843787VàoSáng</v>
      </c>
      <c r="L179" s="102">
        <f>IFERROR(VLOOKUP(K179,'1. Vân tay'!$F:$G,2,0),0)</f>
        <v>0</v>
      </c>
      <c r="M179" s="108" t="str">
        <f t="shared" si="270"/>
        <v>NV10843787RaSáng</v>
      </c>
      <c r="N179" s="102">
        <f>IFERROR(VLOOKUP(M179,'1. Vân tay'!$F:$G,2,0),0)</f>
        <v>0</v>
      </c>
      <c r="O179" s="108" t="str">
        <f t="shared" si="271"/>
        <v>NV10843787VàoChiều</v>
      </c>
      <c r="P179" s="102">
        <f>IFERROR(VLOOKUP(O179,'1. Vân tay'!$F:$G,2,0),0)</f>
        <v>0</v>
      </c>
      <c r="Q179" s="108" t="str">
        <f t="shared" si="272"/>
        <v>NV10843787RaChiều</v>
      </c>
      <c r="R179" s="102">
        <f>IFERROR(VLOOKUP(Q179,'1. Vân tay'!$F:$G,2,0),0)</f>
        <v>0</v>
      </c>
      <c r="S179" s="102">
        <f t="shared" si="273"/>
        <v>0</v>
      </c>
      <c r="T179" s="109">
        <v>0.33333333333333331</v>
      </c>
      <c r="U179" s="109">
        <v>0.5</v>
      </c>
      <c r="V179" s="109">
        <v>0.5625</v>
      </c>
      <c r="W179" s="109">
        <v>0.72916666666666663</v>
      </c>
      <c r="X179" s="102">
        <f>HDSD!$F$4</f>
        <v>5</v>
      </c>
      <c r="Y179" s="102">
        <f>SUMIFS('2. Đi muộn về sớm'!$K:$K,
'2. Đi muộn về sớm'!$B:$B,$A179,
'2. Đi muộn về sớm'!$D:$D,$J179)</f>
        <v>0</v>
      </c>
      <c r="Z179" s="110">
        <f t="shared" si="274"/>
        <v>0</v>
      </c>
      <c r="AA179" s="110">
        <f t="shared" si="275"/>
        <v>0</v>
      </c>
      <c r="AB179" s="111">
        <f t="shared" si="276"/>
        <v>0</v>
      </c>
      <c r="AC179" s="112">
        <f t="shared" si="201"/>
        <v>0</v>
      </c>
      <c r="AD179" s="113">
        <f t="shared" si="202"/>
        <v>0</v>
      </c>
      <c r="AE179" s="111">
        <f t="shared" si="277"/>
        <v>0</v>
      </c>
      <c r="AF179" s="113">
        <f t="shared" si="203"/>
        <v>0</v>
      </c>
      <c r="AG179" s="113">
        <f t="shared" si="204"/>
        <v>0</v>
      </c>
      <c r="AH179" s="114">
        <f t="shared" si="241"/>
        <v>0</v>
      </c>
      <c r="AI179" s="102" t="str">
        <f t="shared" si="205"/>
        <v/>
      </c>
      <c r="AJ179" s="102" t="str">
        <f t="shared" si="206"/>
        <v>NV10843787</v>
      </c>
      <c r="AK179" s="102" t="str">
        <f>IF(OR(J179&lt;D179,J179&gt;F179),"",
IFERROR(INDEX('3. Đơn xin nghỉ'!$K:$K,MATCH('4. Tổng hợp dữ liệu'!AJ179,'3. Đơn xin nghỉ'!$I:$I,0),1),
IF(AND(AU179="Không CC",I179&lt;&gt;1),"Ro:8","")))</f>
        <v>Ro:8</v>
      </c>
      <c r="AL179" s="102" t="str">
        <f t="shared" si="207"/>
        <v/>
      </c>
      <c r="AM179" s="102" t="str">
        <f t="shared" si="278"/>
        <v>Ro:8</v>
      </c>
      <c r="AN179" s="102" t="s">
        <v>81</v>
      </c>
      <c r="AO179" s="102"/>
      <c r="AP179" s="115">
        <f>IFERROR(VLOOKUP(AN179,'Quy đổi công'!A:D,3,0),0)</f>
        <v>0</v>
      </c>
      <c r="AQ179" s="115">
        <f>IFERROR(VLOOKUP(AN179,'Quy đổi công'!A:D,4,0),0)</f>
        <v>1</v>
      </c>
      <c r="AR179" s="115">
        <f t="shared" si="208"/>
        <v>0</v>
      </c>
      <c r="AS179" s="115">
        <f t="shared" si="279"/>
        <v>0</v>
      </c>
      <c r="AT179" s="115">
        <f t="shared" si="280"/>
        <v>0</v>
      </c>
      <c r="AU179" s="102" t="str">
        <f t="shared" si="209"/>
        <v>Không CC</v>
      </c>
      <c r="AV179" s="102" t="str">
        <f t="shared" si="210"/>
        <v/>
      </c>
      <c r="AW179" s="102" t="str">
        <f t="shared" si="211"/>
        <v/>
      </c>
      <c r="AX179" s="102" t="str">
        <f t="shared" si="212"/>
        <v/>
      </c>
      <c r="AY179" s="102" t="str">
        <f t="shared" si="213"/>
        <v/>
      </c>
      <c r="AZ179" s="102"/>
      <c r="BA179" s="102">
        <f>IF(AV179&lt;&gt;0,COUNTIFS($A$7:A179,A179,$AV$7:AV179,"Quên check in"))
+IF(AW179&lt;&gt;0,COUNTIFS($A$7:A179,A179,$AW$7:AW179,"Quên check in"))
+IF(AX179&lt;&gt;0,COUNTIFS($A$7:A179,A179,$AX$7:AX179,"Quên check out"))
+IF(AY179&lt;&gt;0,COUNTIFS($A$7:A179,A179,$AY$7:AY179,"Quên check out"))</f>
        <v>0</v>
      </c>
      <c r="BB179" s="143">
        <f t="shared" si="214"/>
        <v>0</v>
      </c>
    </row>
    <row r="180" spans="1:54" s="83" customFormat="1" ht="14.1" customHeight="1" x14ac:dyDescent="0.3">
      <c r="A180" s="103" t="s">
        <v>7</v>
      </c>
      <c r="B180" s="104" t="s">
        <v>16</v>
      </c>
      <c r="C180" s="105">
        <v>5000000</v>
      </c>
      <c r="D180" s="106">
        <v>43416</v>
      </c>
      <c r="E180" s="107">
        <v>43617</v>
      </c>
      <c r="F180" s="107">
        <v>73415</v>
      </c>
      <c r="G180" s="105">
        <v>26</v>
      </c>
      <c r="H180" s="105">
        <f t="shared" si="268"/>
        <v>2</v>
      </c>
      <c r="I180" s="105"/>
      <c r="J180" s="108">
        <v>43787</v>
      </c>
      <c r="K180" s="108" t="str">
        <f t="shared" si="269"/>
        <v>NV10943787VàoSáng</v>
      </c>
      <c r="L180" s="102" t="str">
        <f>IFERROR(VLOOKUP(K180,'1. Vân tay'!$F:$G,2,0),0)</f>
        <v>07:53:24</v>
      </c>
      <c r="M180" s="108" t="str">
        <f t="shared" si="270"/>
        <v>NV10943787RaSáng</v>
      </c>
      <c r="N180" s="102">
        <f>IFERROR(VLOOKUP(M180,'1. Vân tay'!$F:$G,2,0),0)</f>
        <v>0</v>
      </c>
      <c r="O180" s="108" t="str">
        <f t="shared" si="271"/>
        <v>NV10943787VàoChiều</v>
      </c>
      <c r="P180" s="102">
        <f>IFERROR(VLOOKUP(O180,'1. Vân tay'!$F:$G,2,0),0)</f>
        <v>0</v>
      </c>
      <c r="Q180" s="108" t="str">
        <f t="shared" si="272"/>
        <v>NV10943787RaChiều</v>
      </c>
      <c r="R180" s="102" t="str">
        <f>IFERROR(VLOOKUP(Q180,'1. Vân tay'!$F:$G,2,0),0)</f>
        <v>17:39:06</v>
      </c>
      <c r="S180" s="102">
        <f t="shared" si="273"/>
        <v>0</v>
      </c>
      <c r="T180" s="109">
        <v>0.33333333333333331</v>
      </c>
      <c r="U180" s="109">
        <v>0.5</v>
      </c>
      <c r="V180" s="109">
        <v>0.5625</v>
      </c>
      <c r="W180" s="109">
        <v>0.72916666666666663</v>
      </c>
      <c r="X180" s="102">
        <f>HDSD!$F$4</f>
        <v>5</v>
      </c>
      <c r="Y180" s="102">
        <f>SUMIFS('2. Đi muộn về sớm'!$K:$K,
'2. Đi muộn về sớm'!$B:$B,$A180,
'2. Đi muộn về sớm'!$D:$D,$J180)</f>
        <v>0</v>
      </c>
      <c r="Z180" s="110">
        <f t="shared" si="274"/>
        <v>0</v>
      </c>
      <c r="AA180" s="110">
        <f t="shared" si="275"/>
        <v>0</v>
      </c>
      <c r="AB180" s="111">
        <f t="shared" si="276"/>
        <v>0</v>
      </c>
      <c r="AC180" s="112">
        <f t="shared" si="201"/>
        <v>0</v>
      </c>
      <c r="AD180" s="113">
        <f t="shared" si="202"/>
        <v>0</v>
      </c>
      <c r="AE180" s="111">
        <f t="shared" si="277"/>
        <v>0</v>
      </c>
      <c r="AF180" s="113">
        <f t="shared" si="203"/>
        <v>0</v>
      </c>
      <c r="AG180" s="113">
        <f t="shared" si="204"/>
        <v>0</v>
      </c>
      <c r="AH180" s="114">
        <f t="shared" si="241"/>
        <v>9.7616666666666667</v>
      </c>
      <c r="AI180" s="102" t="str">
        <f t="shared" si="205"/>
        <v>X:8</v>
      </c>
      <c r="AJ180" s="102" t="str">
        <f t="shared" si="206"/>
        <v>NV10943787</v>
      </c>
      <c r="AK180" s="102" t="str">
        <f>IF(OR(J180&lt;D180,J180&gt;F180),"",
IFERROR(INDEX('3. Đơn xin nghỉ'!$K:$K,MATCH('4. Tổng hợp dữ liệu'!AJ180,'3. Đơn xin nghỉ'!$I:$I,0),1),
IF(AND(AU180="Không CC",I180&lt;&gt;1),"Ro:8","")))</f>
        <v/>
      </c>
      <c r="AL180" s="102" t="str">
        <f t="shared" si="207"/>
        <v/>
      </c>
      <c r="AM180" s="102" t="str">
        <f t="shared" si="278"/>
        <v>X:8</v>
      </c>
      <c r="AN180" s="102" t="s">
        <v>92</v>
      </c>
      <c r="AO180" s="102"/>
      <c r="AP180" s="115">
        <f>IFERROR(VLOOKUP(AN180,'Quy đổi công'!A:D,3,0),0)</f>
        <v>1</v>
      </c>
      <c r="AQ180" s="115">
        <f>IFERROR(VLOOKUP(AN180,'Quy đổi công'!A:D,4,0),0)</f>
        <v>0</v>
      </c>
      <c r="AR180" s="115">
        <f t="shared" si="208"/>
        <v>0</v>
      </c>
      <c r="AS180" s="115">
        <f t="shared" si="279"/>
        <v>1</v>
      </c>
      <c r="AT180" s="115">
        <f t="shared" si="280"/>
        <v>0</v>
      </c>
      <c r="AU180" s="102" t="str">
        <f t="shared" si="209"/>
        <v/>
      </c>
      <c r="AV180" s="102" t="str">
        <f t="shared" si="210"/>
        <v/>
      </c>
      <c r="AW180" s="102" t="str">
        <f t="shared" si="211"/>
        <v/>
      </c>
      <c r="AX180" s="102" t="str">
        <f t="shared" si="212"/>
        <v/>
      </c>
      <c r="AY180" s="102" t="str">
        <f t="shared" si="213"/>
        <v/>
      </c>
      <c r="AZ180" s="102"/>
      <c r="BA180" s="102">
        <f>IF(AV180&lt;&gt;0,COUNTIFS($A$7:A180,A180,$AV$7:AV180,"Quên check in"))
+IF(AW180&lt;&gt;0,COUNTIFS($A$7:A180,A180,$AW$7:AW180,"Quên check in"))
+IF(AX180&lt;&gt;0,COUNTIFS($A$7:A180,A180,$AX$7:AX180,"Quên check out"))
+IF(AY180&lt;&gt;0,COUNTIFS($A$7:A180,A180,$AY$7:AY180,"Quên check out"))</f>
        <v>0</v>
      </c>
      <c r="BB180" s="143">
        <f t="shared" si="214"/>
        <v>0</v>
      </c>
    </row>
    <row r="181" spans="1:54" s="83" customFormat="1" ht="14.1" customHeight="1" x14ac:dyDescent="0.3">
      <c r="A181" s="103" t="s">
        <v>8</v>
      </c>
      <c r="B181" s="104" t="s">
        <v>17</v>
      </c>
      <c r="C181" s="105">
        <v>5000000</v>
      </c>
      <c r="D181" s="106">
        <v>43423</v>
      </c>
      <c r="E181" s="107">
        <v>43617</v>
      </c>
      <c r="F181" s="107">
        <v>73415</v>
      </c>
      <c r="G181" s="105">
        <v>26</v>
      </c>
      <c r="H181" s="105">
        <f t="shared" si="268"/>
        <v>2</v>
      </c>
      <c r="I181" s="105"/>
      <c r="J181" s="108">
        <v>43787</v>
      </c>
      <c r="K181" s="108" t="str">
        <f t="shared" si="269"/>
        <v>NV11343787VàoSáng</v>
      </c>
      <c r="L181" s="102" t="str">
        <f>IFERROR(VLOOKUP(K181,'1. Vân tay'!$F:$G,2,0),0)</f>
        <v>07:54:58</v>
      </c>
      <c r="M181" s="108" t="str">
        <f t="shared" si="270"/>
        <v>NV11343787RaSáng</v>
      </c>
      <c r="N181" s="102">
        <f>IFERROR(VLOOKUP(M181,'1. Vân tay'!$F:$G,2,0),0)</f>
        <v>0</v>
      </c>
      <c r="O181" s="108" t="str">
        <f t="shared" si="271"/>
        <v>NV11343787VàoChiều</v>
      </c>
      <c r="P181" s="102">
        <f>IFERROR(VLOOKUP(O181,'1. Vân tay'!$F:$G,2,0),0)</f>
        <v>0</v>
      </c>
      <c r="Q181" s="108" t="str">
        <f t="shared" si="272"/>
        <v>NV11343787RaChiều</v>
      </c>
      <c r="R181" s="102" t="str">
        <f>IFERROR(VLOOKUP(Q181,'1. Vân tay'!$F:$G,2,0),0)</f>
        <v>17:37:57</v>
      </c>
      <c r="S181" s="102">
        <f t="shared" si="273"/>
        <v>0</v>
      </c>
      <c r="T181" s="109">
        <v>0.33333333333333331</v>
      </c>
      <c r="U181" s="109">
        <v>0.5</v>
      </c>
      <c r="V181" s="109">
        <v>0.5625</v>
      </c>
      <c r="W181" s="109">
        <v>0.72916666666666663</v>
      </c>
      <c r="X181" s="102">
        <f>HDSD!$F$4</f>
        <v>5</v>
      </c>
      <c r="Y181" s="102">
        <f>SUMIFS('2. Đi muộn về sớm'!$K:$K,
'2. Đi muộn về sớm'!$B:$B,$A181,
'2. Đi muộn về sớm'!$D:$D,$J181)</f>
        <v>0</v>
      </c>
      <c r="Z181" s="110">
        <f t="shared" si="274"/>
        <v>0</v>
      </c>
      <c r="AA181" s="110">
        <f t="shared" si="275"/>
        <v>0</v>
      </c>
      <c r="AB181" s="111">
        <f t="shared" si="276"/>
        <v>0</v>
      </c>
      <c r="AC181" s="112">
        <f t="shared" si="201"/>
        <v>0</v>
      </c>
      <c r="AD181" s="113">
        <f t="shared" si="202"/>
        <v>0</v>
      </c>
      <c r="AE181" s="111">
        <f t="shared" si="277"/>
        <v>0</v>
      </c>
      <c r="AF181" s="113">
        <f t="shared" si="203"/>
        <v>0</v>
      </c>
      <c r="AG181" s="113">
        <f t="shared" si="204"/>
        <v>0</v>
      </c>
      <c r="AH181" s="114">
        <f t="shared" si="241"/>
        <v>9.7163888888888881</v>
      </c>
      <c r="AI181" s="102" t="str">
        <f t="shared" si="205"/>
        <v>X:8</v>
      </c>
      <c r="AJ181" s="102" t="str">
        <f t="shared" si="206"/>
        <v>NV11343787</v>
      </c>
      <c r="AK181" s="102" t="str">
        <f>IF(OR(J181&lt;D181,J181&gt;F181),"",
IFERROR(INDEX('3. Đơn xin nghỉ'!$K:$K,MATCH('4. Tổng hợp dữ liệu'!AJ181,'3. Đơn xin nghỉ'!$I:$I,0),1),
IF(AND(AU181="Không CC",I181&lt;&gt;1),"Ro:8","")))</f>
        <v/>
      </c>
      <c r="AL181" s="102" t="str">
        <f t="shared" si="207"/>
        <v/>
      </c>
      <c r="AM181" s="102" t="str">
        <f t="shared" si="278"/>
        <v>X:8</v>
      </c>
      <c r="AN181" s="102" t="s">
        <v>92</v>
      </c>
      <c r="AO181" s="102"/>
      <c r="AP181" s="115">
        <f>IFERROR(VLOOKUP(AN181,'Quy đổi công'!A:D,3,0),0)</f>
        <v>1</v>
      </c>
      <c r="AQ181" s="115">
        <f>IFERROR(VLOOKUP(AN181,'Quy đổi công'!A:D,4,0),0)</f>
        <v>0</v>
      </c>
      <c r="AR181" s="115">
        <f t="shared" si="208"/>
        <v>0</v>
      </c>
      <c r="AS181" s="115">
        <f t="shared" si="279"/>
        <v>1</v>
      </c>
      <c r="AT181" s="115">
        <f t="shared" si="280"/>
        <v>0</v>
      </c>
      <c r="AU181" s="102" t="str">
        <f t="shared" si="209"/>
        <v/>
      </c>
      <c r="AV181" s="102" t="str">
        <f t="shared" si="210"/>
        <v/>
      </c>
      <c r="AW181" s="102" t="str">
        <f t="shared" si="211"/>
        <v/>
      </c>
      <c r="AX181" s="102" t="str">
        <f t="shared" si="212"/>
        <v/>
      </c>
      <c r="AY181" s="102" t="str">
        <f t="shared" si="213"/>
        <v/>
      </c>
      <c r="AZ181" s="102"/>
      <c r="BA181" s="102">
        <f>IF(AV181&lt;&gt;0,COUNTIFS($A$7:A181,A181,$AV$7:AV181,"Quên check in"))
+IF(AW181&lt;&gt;0,COUNTIFS($A$7:A181,A181,$AW$7:AW181,"Quên check in"))
+IF(AX181&lt;&gt;0,COUNTIFS($A$7:A181,A181,$AX$7:AX181,"Quên check out"))
+IF(AY181&lt;&gt;0,COUNTIFS($A$7:A181,A181,$AY$7:AY181,"Quên check out"))</f>
        <v>1</v>
      </c>
      <c r="BB181" s="143">
        <f t="shared" si="214"/>
        <v>0</v>
      </c>
    </row>
    <row r="182" spans="1:54" s="83" customFormat="1" ht="14.1" customHeight="1" x14ac:dyDescent="0.3">
      <c r="A182" s="103" t="s">
        <v>9</v>
      </c>
      <c r="B182" s="104" t="s">
        <v>18</v>
      </c>
      <c r="C182" s="105">
        <v>4900000</v>
      </c>
      <c r="D182" s="106">
        <v>43437</v>
      </c>
      <c r="E182" s="107">
        <v>43617</v>
      </c>
      <c r="F182" s="107">
        <v>73415</v>
      </c>
      <c r="G182" s="105">
        <v>26</v>
      </c>
      <c r="H182" s="105">
        <f t="shared" si="268"/>
        <v>2</v>
      </c>
      <c r="I182" s="105"/>
      <c r="J182" s="108">
        <v>43787</v>
      </c>
      <c r="K182" s="108" t="str">
        <f t="shared" si="269"/>
        <v>NV11443787VàoSáng</v>
      </c>
      <c r="L182" s="102" t="str">
        <f>IFERROR(VLOOKUP(K182,'1. Vân tay'!$F:$G,2,0),0)</f>
        <v>08:00:42</v>
      </c>
      <c r="M182" s="108" t="str">
        <f t="shared" si="270"/>
        <v>NV11443787RaSáng</v>
      </c>
      <c r="N182" s="102">
        <f>IFERROR(VLOOKUP(M182,'1. Vân tay'!$F:$G,2,0),0)</f>
        <v>0</v>
      </c>
      <c r="O182" s="108" t="str">
        <f t="shared" si="271"/>
        <v>NV11443787VàoChiều</v>
      </c>
      <c r="P182" s="102">
        <f>IFERROR(VLOOKUP(O182,'1. Vân tay'!$F:$G,2,0),0)</f>
        <v>0</v>
      </c>
      <c r="Q182" s="108" t="str">
        <f t="shared" si="272"/>
        <v>NV11443787RaChiều</v>
      </c>
      <c r="R182" s="102" t="str">
        <f>IFERROR(VLOOKUP(Q182,'1. Vân tay'!$F:$G,2,0),0)</f>
        <v>17:34:19</v>
      </c>
      <c r="S182" s="102">
        <f t="shared" si="273"/>
        <v>0</v>
      </c>
      <c r="T182" s="109">
        <v>0.33333333333333331</v>
      </c>
      <c r="U182" s="109">
        <v>0.5</v>
      </c>
      <c r="V182" s="109">
        <v>0.5625</v>
      </c>
      <c r="W182" s="109">
        <v>0.72916666666666663</v>
      </c>
      <c r="X182" s="102">
        <f>HDSD!$F$4</f>
        <v>5</v>
      </c>
      <c r="Y182" s="102">
        <f>SUMIFS('2. Đi muộn về sớm'!$K:$K,
'2. Đi muộn về sớm'!$B:$B,$A182,
'2. Đi muộn về sớm'!$D:$D,$J182)</f>
        <v>0</v>
      </c>
      <c r="Z182" s="110">
        <f t="shared" si="274"/>
        <v>0.7</v>
      </c>
      <c r="AA182" s="110">
        <f t="shared" si="275"/>
        <v>0</v>
      </c>
      <c r="AB182" s="111">
        <f t="shared" si="276"/>
        <v>0.7</v>
      </c>
      <c r="AC182" s="112">
        <f t="shared" si="201"/>
        <v>0</v>
      </c>
      <c r="AD182" s="113">
        <f t="shared" si="202"/>
        <v>0</v>
      </c>
      <c r="AE182" s="111">
        <f t="shared" si="277"/>
        <v>0</v>
      </c>
      <c r="AF182" s="113">
        <f t="shared" si="203"/>
        <v>0</v>
      </c>
      <c r="AG182" s="113">
        <f t="shared" si="204"/>
        <v>0</v>
      </c>
      <c r="AH182" s="114">
        <f t="shared" si="241"/>
        <v>9.5602777777777792</v>
      </c>
      <c r="AI182" s="102" t="str">
        <f t="shared" si="205"/>
        <v>X:8</v>
      </c>
      <c r="AJ182" s="102" t="str">
        <f t="shared" si="206"/>
        <v>NV11443787</v>
      </c>
      <c r="AK182" s="102" t="str">
        <f>IF(OR(J182&lt;D182,J182&gt;F182),"",
IFERROR(INDEX('3. Đơn xin nghỉ'!$K:$K,MATCH('4. Tổng hợp dữ liệu'!AJ182,'3. Đơn xin nghỉ'!$I:$I,0),1),
IF(AND(AU182="Không CC",I182&lt;&gt;1),"Ro:8","")))</f>
        <v/>
      </c>
      <c r="AL182" s="102" t="str">
        <f t="shared" si="207"/>
        <v/>
      </c>
      <c r="AM182" s="102" t="str">
        <f t="shared" si="278"/>
        <v>X:8</v>
      </c>
      <c r="AN182" s="102" t="s">
        <v>92</v>
      </c>
      <c r="AO182" s="102"/>
      <c r="AP182" s="115">
        <f>IFERROR(VLOOKUP(AN182,'Quy đổi công'!A:D,3,0),0)</f>
        <v>1</v>
      </c>
      <c r="AQ182" s="115">
        <f>IFERROR(VLOOKUP(AN182,'Quy đổi công'!A:D,4,0),0)</f>
        <v>0</v>
      </c>
      <c r="AR182" s="115">
        <f t="shared" si="208"/>
        <v>0</v>
      </c>
      <c r="AS182" s="115">
        <f t="shared" si="279"/>
        <v>1</v>
      </c>
      <c r="AT182" s="115">
        <f t="shared" si="280"/>
        <v>0</v>
      </c>
      <c r="AU182" s="102" t="str">
        <f t="shared" si="209"/>
        <v/>
      </c>
      <c r="AV182" s="102" t="str">
        <f t="shared" si="210"/>
        <v/>
      </c>
      <c r="AW182" s="102" t="str">
        <f t="shared" si="211"/>
        <v/>
      </c>
      <c r="AX182" s="102" t="str">
        <f t="shared" si="212"/>
        <v/>
      </c>
      <c r="AY182" s="102" t="str">
        <f t="shared" si="213"/>
        <v/>
      </c>
      <c r="AZ182" s="102"/>
      <c r="BA182" s="102">
        <f>IF(AV182&lt;&gt;0,COUNTIFS($A$7:A182,A182,$AV$7:AV182,"Quên check in"))
+IF(AW182&lt;&gt;0,COUNTIFS($A$7:A182,A182,$AW$7:AW182,"Quên check in"))
+IF(AX182&lt;&gt;0,COUNTIFS($A$7:A182,A182,$AX$7:AX182,"Quên check out"))
+IF(AY182&lt;&gt;0,COUNTIFS($A$7:A182,A182,$AY$7:AY182,"Quên check out"))</f>
        <v>1</v>
      </c>
      <c r="BB182" s="143">
        <f t="shared" si="214"/>
        <v>0</v>
      </c>
    </row>
    <row r="183" spans="1:54" s="83" customFormat="1" ht="14.1" customHeight="1" x14ac:dyDescent="0.3">
      <c r="A183" s="103" t="s">
        <v>10</v>
      </c>
      <c r="B183" s="104" t="s">
        <v>19</v>
      </c>
      <c r="C183" s="105">
        <v>5000000</v>
      </c>
      <c r="D183" s="106">
        <v>43445</v>
      </c>
      <c r="E183" s="107">
        <v>43647</v>
      </c>
      <c r="F183" s="107">
        <v>73415</v>
      </c>
      <c r="G183" s="105">
        <v>26</v>
      </c>
      <c r="H183" s="105">
        <f t="shared" si="268"/>
        <v>2</v>
      </c>
      <c r="I183" s="105"/>
      <c r="J183" s="108">
        <v>43787</v>
      </c>
      <c r="K183" s="108" t="str">
        <f t="shared" si="269"/>
        <v>NV11843787VàoSáng</v>
      </c>
      <c r="L183" s="102" t="str">
        <f>IFERROR(VLOOKUP(K183,'1. Vân tay'!$F:$G,2,0),0)</f>
        <v>08:02:47</v>
      </c>
      <c r="M183" s="108" t="str">
        <f t="shared" si="270"/>
        <v>NV11843787RaSáng</v>
      </c>
      <c r="N183" s="102">
        <f>IFERROR(VLOOKUP(M183,'1. Vân tay'!$F:$G,2,0),0)</f>
        <v>0</v>
      </c>
      <c r="O183" s="108" t="str">
        <f t="shared" si="271"/>
        <v>NV11843787VàoChiều</v>
      </c>
      <c r="P183" s="102">
        <f>IFERROR(VLOOKUP(O183,'1. Vân tay'!$F:$G,2,0),0)</f>
        <v>0</v>
      </c>
      <c r="Q183" s="108" t="str">
        <f t="shared" si="272"/>
        <v>NV11843787RaChiều</v>
      </c>
      <c r="R183" s="102" t="str">
        <f>IFERROR(VLOOKUP(Q183,'1. Vân tay'!$F:$G,2,0),0)</f>
        <v>17:39:25</v>
      </c>
      <c r="S183" s="102">
        <f t="shared" si="273"/>
        <v>0</v>
      </c>
      <c r="T183" s="109">
        <v>0.33333333333333331</v>
      </c>
      <c r="U183" s="109">
        <v>0.5</v>
      </c>
      <c r="V183" s="109">
        <v>0.5625</v>
      </c>
      <c r="W183" s="109">
        <v>0.72916666666666663</v>
      </c>
      <c r="X183" s="102">
        <f>HDSD!$F$4</f>
        <v>5</v>
      </c>
      <c r="Y183" s="102">
        <f>SUMIFS('2. Đi muộn về sớm'!$K:$K,
'2. Đi muộn về sớm'!$B:$B,$A183,
'2. Đi muộn về sớm'!$D:$D,$J183)</f>
        <v>0</v>
      </c>
      <c r="Z183" s="110">
        <f t="shared" si="274"/>
        <v>2.7833333333333332</v>
      </c>
      <c r="AA183" s="110">
        <f t="shared" si="275"/>
        <v>0</v>
      </c>
      <c r="AB183" s="111">
        <f t="shared" si="276"/>
        <v>2.7833333333333332</v>
      </c>
      <c r="AC183" s="112">
        <f t="shared" si="201"/>
        <v>0</v>
      </c>
      <c r="AD183" s="113">
        <f t="shared" si="202"/>
        <v>0</v>
      </c>
      <c r="AE183" s="111">
        <f t="shared" si="277"/>
        <v>0</v>
      </c>
      <c r="AF183" s="113">
        <f t="shared" si="203"/>
        <v>0</v>
      </c>
      <c r="AG183" s="113">
        <f t="shared" si="204"/>
        <v>0</v>
      </c>
      <c r="AH183" s="114">
        <f t="shared" si="241"/>
        <v>9.6105555555555551</v>
      </c>
      <c r="AI183" s="102" t="str">
        <f t="shared" si="205"/>
        <v>X:8</v>
      </c>
      <c r="AJ183" s="102" t="str">
        <f t="shared" si="206"/>
        <v>NV11843787</v>
      </c>
      <c r="AK183" s="102" t="str">
        <f>IF(OR(J183&lt;D183,J183&gt;F183),"",
IFERROR(INDEX('3. Đơn xin nghỉ'!$K:$K,MATCH('4. Tổng hợp dữ liệu'!AJ183,'3. Đơn xin nghỉ'!$I:$I,0),1),
IF(AND(AU183="Không CC",I183&lt;&gt;1),"Ro:8","")))</f>
        <v/>
      </c>
      <c r="AL183" s="102" t="str">
        <f t="shared" si="207"/>
        <v/>
      </c>
      <c r="AM183" s="102" t="str">
        <f t="shared" si="278"/>
        <v>X:8</v>
      </c>
      <c r="AN183" s="102" t="s">
        <v>92</v>
      </c>
      <c r="AO183" s="102"/>
      <c r="AP183" s="115">
        <f>IFERROR(VLOOKUP(AN183,'Quy đổi công'!A:D,3,0),0)</f>
        <v>1</v>
      </c>
      <c r="AQ183" s="115">
        <f>IFERROR(VLOOKUP(AN183,'Quy đổi công'!A:D,4,0),0)</f>
        <v>0</v>
      </c>
      <c r="AR183" s="115">
        <f t="shared" si="208"/>
        <v>0</v>
      </c>
      <c r="AS183" s="115">
        <f t="shared" si="279"/>
        <v>1</v>
      </c>
      <c r="AT183" s="115">
        <f t="shared" si="280"/>
        <v>0</v>
      </c>
      <c r="AU183" s="102" t="str">
        <f t="shared" si="209"/>
        <v/>
      </c>
      <c r="AV183" s="102" t="str">
        <f t="shared" si="210"/>
        <v/>
      </c>
      <c r="AW183" s="102" t="str">
        <f t="shared" si="211"/>
        <v/>
      </c>
      <c r="AX183" s="102" t="str">
        <f t="shared" si="212"/>
        <v/>
      </c>
      <c r="AY183" s="102" t="str">
        <f t="shared" si="213"/>
        <v/>
      </c>
      <c r="AZ183" s="102"/>
      <c r="BA183" s="102">
        <f>IF(AV183&lt;&gt;0,COUNTIFS($A$7:A183,A183,$AV$7:AV183,"Quên check in"))
+IF(AW183&lt;&gt;0,COUNTIFS($A$7:A183,A183,$AW$7:AW183,"Quên check in"))
+IF(AX183&lt;&gt;0,COUNTIFS($A$7:A183,A183,$AX$7:AX183,"Quên check out"))
+IF(AY183&lt;&gt;0,COUNTIFS($A$7:A183,A183,$AY$7:AY183,"Quên check out"))</f>
        <v>0</v>
      </c>
      <c r="BB183" s="143">
        <f t="shared" si="214"/>
        <v>0</v>
      </c>
    </row>
    <row r="184" spans="1:54" s="83" customFormat="1" ht="14.1" customHeight="1" x14ac:dyDescent="0.3">
      <c r="A184" s="103" t="s">
        <v>11</v>
      </c>
      <c r="B184" s="104" t="s">
        <v>20</v>
      </c>
      <c r="C184" s="105">
        <v>4700000</v>
      </c>
      <c r="D184" s="106">
        <v>43467</v>
      </c>
      <c r="E184" s="107">
        <v>43617</v>
      </c>
      <c r="F184" s="107">
        <v>73415</v>
      </c>
      <c r="G184" s="105">
        <v>26</v>
      </c>
      <c r="H184" s="105">
        <f t="shared" si="268"/>
        <v>2</v>
      </c>
      <c r="I184" s="105"/>
      <c r="J184" s="108">
        <v>43787</v>
      </c>
      <c r="K184" s="108" t="str">
        <f t="shared" si="269"/>
        <v>NV12243787VàoSáng</v>
      </c>
      <c r="L184" s="102" t="str">
        <f>IFERROR(VLOOKUP(K184,'1. Vân tay'!$F:$G,2,0),0)</f>
        <v>07:57:23</v>
      </c>
      <c r="M184" s="108" t="str">
        <f t="shared" si="270"/>
        <v>NV12243787RaSáng</v>
      </c>
      <c r="N184" s="102">
        <f>IFERROR(VLOOKUP(M184,'1. Vân tay'!$F:$G,2,0),0)</f>
        <v>0</v>
      </c>
      <c r="O184" s="108" t="str">
        <f t="shared" si="271"/>
        <v>NV12243787VàoChiều</v>
      </c>
      <c r="P184" s="102">
        <f>IFERROR(VLOOKUP(O184,'1. Vân tay'!$F:$G,2,0),0)</f>
        <v>0</v>
      </c>
      <c r="Q184" s="108" t="str">
        <f t="shared" si="272"/>
        <v>NV12243787RaChiều</v>
      </c>
      <c r="R184" s="102" t="str">
        <f>IFERROR(VLOOKUP(Q184,'1. Vân tay'!$F:$G,2,0),0)</f>
        <v>17:32:08</v>
      </c>
      <c r="S184" s="102">
        <f t="shared" si="273"/>
        <v>0</v>
      </c>
      <c r="T184" s="109">
        <v>0.33333333333333331</v>
      </c>
      <c r="U184" s="109">
        <v>0.5</v>
      </c>
      <c r="V184" s="109">
        <v>0.5625</v>
      </c>
      <c r="W184" s="109">
        <v>0.72916666666666663</v>
      </c>
      <c r="X184" s="102">
        <f>HDSD!$F$4</f>
        <v>5</v>
      </c>
      <c r="Y184" s="102">
        <f>SUMIFS('2. Đi muộn về sớm'!$K:$K,
'2. Đi muộn về sớm'!$B:$B,$A184,
'2. Đi muộn về sớm'!$D:$D,$J184)</f>
        <v>0</v>
      </c>
      <c r="Z184" s="110">
        <f t="shared" si="274"/>
        <v>0</v>
      </c>
      <c r="AA184" s="110">
        <f t="shared" si="275"/>
        <v>0</v>
      </c>
      <c r="AB184" s="111">
        <f t="shared" si="276"/>
        <v>0</v>
      </c>
      <c r="AC184" s="112">
        <f t="shared" si="201"/>
        <v>0</v>
      </c>
      <c r="AD184" s="113">
        <f t="shared" si="202"/>
        <v>0</v>
      </c>
      <c r="AE184" s="111">
        <f t="shared" si="277"/>
        <v>0</v>
      </c>
      <c r="AF184" s="113">
        <f t="shared" si="203"/>
        <v>0</v>
      </c>
      <c r="AG184" s="113">
        <f t="shared" si="204"/>
        <v>0</v>
      </c>
      <c r="AH184" s="114">
        <f t="shared" si="241"/>
        <v>9.5791666666666657</v>
      </c>
      <c r="AI184" s="102" t="str">
        <f t="shared" si="205"/>
        <v>X:8</v>
      </c>
      <c r="AJ184" s="102" t="str">
        <f t="shared" si="206"/>
        <v>NV12243787</v>
      </c>
      <c r="AK184" s="102" t="str">
        <f>IF(OR(J184&lt;D184,J184&gt;F184),"",
IFERROR(INDEX('3. Đơn xin nghỉ'!$K:$K,MATCH('4. Tổng hợp dữ liệu'!AJ184,'3. Đơn xin nghỉ'!$I:$I,0),1),
IF(AND(AU184="Không CC",I184&lt;&gt;1),"Ro:8","")))</f>
        <v/>
      </c>
      <c r="AL184" s="102" t="str">
        <f t="shared" si="207"/>
        <v/>
      </c>
      <c r="AM184" s="102" t="str">
        <f t="shared" si="278"/>
        <v>X:8</v>
      </c>
      <c r="AN184" s="102" t="s">
        <v>92</v>
      </c>
      <c r="AO184" s="102"/>
      <c r="AP184" s="115">
        <f>IFERROR(VLOOKUP(AN184,'Quy đổi công'!A:D,3,0),0)</f>
        <v>1</v>
      </c>
      <c r="AQ184" s="115">
        <f>IFERROR(VLOOKUP(AN184,'Quy đổi công'!A:D,4,0),0)</f>
        <v>0</v>
      </c>
      <c r="AR184" s="115">
        <f t="shared" si="208"/>
        <v>0</v>
      </c>
      <c r="AS184" s="115">
        <f t="shared" si="279"/>
        <v>1</v>
      </c>
      <c r="AT184" s="115">
        <f t="shared" si="280"/>
        <v>0</v>
      </c>
      <c r="AU184" s="102" t="str">
        <f t="shared" si="209"/>
        <v/>
      </c>
      <c r="AV184" s="102" t="str">
        <f t="shared" si="210"/>
        <v/>
      </c>
      <c r="AW184" s="102" t="str">
        <f t="shared" si="211"/>
        <v/>
      </c>
      <c r="AX184" s="102" t="str">
        <f t="shared" si="212"/>
        <v/>
      </c>
      <c r="AY184" s="102" t="str">
        <f t="shared" si="213"/>
        <v/>
      </c>
      <c r="AZ184" s="102"/>
      <c r="BA184" s="102">
        <f>IF(AV184&lt;&gt;0,COUNTIFS($A$7:A184,A184,$AV$7:AV184,"Quên check in"))
+IF(AW184&lt;&gt;0,COUNTIFS($A$7:A184,A184,$AW$7:AW184,"Quên check in"))
+IF(AX184&lt;&gt;0,COUNTIFS($A$7:A184,A184,$AX$7:AX184,"Quên check out"))
+IF(AY184&lt;&gt;0,COUNTIFS($A$7:A184,A184,$AY$7:AY184,"Quên check out"))</f>
        <v>1</v>
      </c>
      <c r="BB184" s="143">
        <f t="shared" si="214"/>
        <v>0</v>
      </c>
    </row>
    <row r="185" spans="1:54" s="83" customFormat="1" ht="14.1" customHeight="1" x14ac:dyDescent="0.3">
      <c r="A185" s="103" t="s">
        <v>12</v>
      </c>
      <c r="B185" s="104" t="s">
        <v>21</v>
      </c>
      <c r="C185" s="105">
        <v>5000000</v>
      </c>
      <c r="D185" s="106">
        <v>43482</v>
      </c>
      <c r="E185" s="107">
        <v>43647</v>
      </c>
      <c r="F185" s="107">
        <v>73415</v>
      </c>
      <c r="G185" s="105">
        <v>26</v>
      </c>
      <c r="H185" s="105">
        <f t="shared" si="268"/>
        <v>2</v>
      </c>
      <c r="I185" s="105"/>
      <c r="J185" s="108">
        <v>43787</v>
      </c>
      <c r="K185" s="108" t="str">
        <f t="shared" si="269"/>
        <v>NV12343787VàoSáng</v>
      </c>
      <c r="L185" s="102">
        <f>IFERROR(VLOOKUP(K185,'1. Vân tay'!$F:$G,2,0),0)</f>
        <v>0</v>
      </c>
      <c r="M185" s="108" t="str">
        <f t="shared" si="270"/>
        <v>NV12343787RaSáng</v>
      </c>
      <c r="N185" s="102">
        <f>IFERROR(VLOOKUP(M185,'1. Vân tay'!$F:$G,2,0),0)</f>
        <v>0</v>
      </c>
      <c r="O185" s="108" t="str">
        <f t="shared" si="271"/>
        <v>NV12343787VàoChiều</v>
      </c>
      <c r="P185" s="102">
        <f>IFERROR(VLOOKUP(O185,'1. Vân tay'!$F:$G,2,0),0)</f>
        <v>0</v>
      </c>
      <c r="Q185" s="108" t="str">
        <f t="shared" si="272"/>
        <v>NV12343787RaChiều</v>
      </c>
      <c r="R185" s="102" t="str">
        <f>IFERROR(VLOOKUP(Q185,'1. Vân tay'!$F:$G,2,0),0)</f>
        <v>17:34:22</v>
      </c>
      <c r="S185" s="102">
        <f t="shared" si="273"/>
        <v>0</v>
      </c>
      <c r="T185" s="109">
        <v>0.33333333333333331</v>
      </c>
      <c r="U185" s="109">
        <v>0.5</v>
      </c>
      <c r="V185" s="109">
        <v>0.5625</v>
      </c>
      <c r="W185" s="109">
        <v>0.72916666666666663</v>
      </c>
      <c r="X185" s="102">
        <f>HDSD!$F$4</f>
        <v>5</v>
      </c>
      <c r="Y185" s="102">
        <f>SUMIFS('2. Đi muộn về sớm'!$K:$K,
'2. Đi muộn về sớm'!$B:$B,$A185,
'2. Đi muộn về sớm'!$D:$D,$J185)</f>
        <v>0</v>
      </c>
      <c r="Z185" s="110">
        <f t="shared" si="274"/>
        <v>0</v>
      </c>
      <c r="AA185" s="110">
        <f t="shared" si="275"/>
        <v>0</v>
      </c>
      <c r="AB185" s="111">
        <f t="shared" si="276"/>
        <v>0</v>
      </c>
      <c r="AC185" s="112">
        <f t="shared" si="201"/>
        <v>0</v>
      </c>
      <c r="AD185" s="113">
        <f t="shared" si="202"/>
        <v>0</v>
      </c>
      <c r="AE185" s="111">
        <f t="shared" si="277"/>
        <v>0</v>
      </c>
      <c r="AF185" s="113">
        <f t="shared" si="203"/>
        <v>0</v>
      </c>
      <c r="AG185" s="113">
        <f t="shared" si="204"/>
        <v>0</v>
      </c>
      <c r="AH185" s="114">
        <f t="shared" si="241"/>
        <v>4.0727777777777776</v>
      </c>
      <c r="AI185" s="102" t="str">
        <f t="shared" si="205"/>
        <v>X:4</v>
      </c>
      <c r="AJ185" s="102" t="str">
        <f t="shared" si="206"/>
        <v>NV12343787</v>
      </c>
      <c r="AK185" s="102" t="str">
        <f>IF(OR(J185&lt;D185,J185&gt;F185),"",
IFERROR(INDEX('3. Đơn xin nghỉ'!$K:$K,MATCH('4. Tổng hợp dữ liệu'!AJ185,'3. Đơn xin nghỉ'!$I:$I,0),1),
IF(AND(AU185="Không CC",I185&lt;&gt;1),"Ro:8","")))</f>
        <v/>
      </c>
      <c r="AL185" s="102" t="str">
        <f t="shared" si="207"/>
        <v/>
      </c>
      <c r="AM185" s="102" t="str">
        <f t="shared" si="278"/>
        <v>X:4</v>
      </c>
      <c r="AN185" s="102" t="s">
        <v>92</v>
      </c>
      <c r="AO185" s="102" t="s">
        <v>280</v>
      </c>
      <c r="AP185" s="115">
        <f>IFERROR(VLOOKUP(AN185,'Quy đổi công'!A:D,3,0),0)</f>
        <v>1</v>
      </c>
      <c r="AQ185" s="115">
        <f>IFERROR(VLOOKUP(AN185,'Quy đổi công'!A:D,4,0),0)</f>
        <v>0</v>
      </c>
      <c r="AR185" s="115">
        <f t="shared" si="208"/>
        <v>0</v>
      </c>
      <c r="AS185" s="115">
        <f t="shared" si="279"/>
        <v>1</v>
      </c>
      <c r="AT185" s="115">
        <f t="shared" si="280"/>
        <v>0</v>
      </c>
      <c r="AU185" s="102" t="str">
        <f t="shared" si="209"/>
        <v/>
      </c>
      <c r="AV185" s="102" t="str">
        <f t="shared" si="210"/>
        <v/>
      </c>
      <c r="AW185" s="102" t="str">
        <f t="shared" si="211"/>
        <v>Quên check in</v>
      </c>
      <c r="AX185" s="102" t="str">
        <f t="shared" si="212"/>
        <v/>
      </c>
      <c r="AY185" s="102" t="str">
        <f t="shared" si="213"/>
        <v/>
      </c>
      <c r="AZ185" s="102" t="s">
        <v>230</v>
      </c>
      <c r="BA185" s="102">
        <f>IF(AV185&lt;&gt;0,COUNTIFS($A$7:A185,A185,$AV$7:AV185,"Quên check in"))
+IF(AW185&lt;&gt;0,COUNTIFS($A$7:A185,A185,$AW$7:AW185,"Quên check in"))
+IF(AX185&lt;&gt;0,COUNTIFS($A$7:A185,A185,$AX$7:AX185,"Quên check out"))
+IF(AY185&lt;&gt;0,COUNTIFS($A$7:A185,A185,$AY$7:AY185,"Quên check out"))</f>
        <v>1</v>
      </c>
      <c r="BB185" s="143">
        <f t="shared" si="214"/>
        <v>0</v>
      </c>
    </row>
    <row r="186" spans="1:54" s="83" customFormat="1" ht="14.1" customHeight="1" x14ac:dyDescent="0.3">
      <c r="A186" s="103" t="s">
        <v>13</v>
      </c>
      <c r="B186" s="104" t="s">
        <v>22</v>
      </c>
      <c r="C186" s="105">
        <v>4700000</v>
      </c>
      <c r="D186" s="106">
        <v>43531</v>
      </c>
      <c r="E186" s="107">
        <v>43647</v>
      </c>
      <c r="F186" s="107">
        <v>73415</v>
      </c>
      <c r="G186" s="105">
        <v>26</v>
      </c>
      <c r="H186" s="105">
        <f t="shared" si="268"/>
        <v>2</v>
      </c>
      <c r="I186" s="105"/>
      <c r="J186" s="108">
        <v>43787</v>
      </c>
      <c r="K186" s="108" t="str">
        <f t="shared" si="269"/>
        <v>NV12643787VàoSáng</v>
      </c>
      <c r="L186" s="102" t="str">
        <f>IFERROR(VLOOKUP(K186,'1. Vân tay'!$F:$G,2,0),0)</f>
        <v>07:52:00</v>
      </c>
      <c r="M186" s="108" t="str">
        <f t="shared" si="270"/>
        <v>NV12643787RaSáng</v>
      </c>
      <c r="N186" s="102">
        <f>IFERROR(VLOOKUP(M186,'1. Vân tay'!$F:$G,2,0),0)</f>
        <v>0</v>
      </c>
      <c r="O186" s="108" t="str">
        <f t="shared" si="271"/>
        <v>NV12643787VàoChiều</v>
      </c>
      <c r="P186" s="102">
        <f>IFERROR(VLOOKUP(O186,'1. Vân tay'!$F:$G,2,0),0)</f>
        <v>0</v>
      </c>
      <c r="Q186" s="108" t="str">
        <f t="shared" si="272"/>
        <v>NV12643787RaChiều</v>
      </c>
      <c r="R186" s="102" t="str">
        <f>IFERROR(VLOOKUP(Q186,'1. Vân tay'!$F:$G,2,0),0)</f>
        <v>17:36:06</v>
      </c>
      <c r="S186" s="102">
        <f t="shared" si="273"/>
        <v>0</v>
      </c>
      <c r="T186" s="109">
        <v>0.33333333333333331</v>
      </c>
      <c r="U186" s="109">
        <v>0.5</v>
      </c>
      <c r="V186" s="109">
        <v>0.5625</v>
      </c>
      <c r="W186" s="109">
        <v>0.72916666666666663</v>
      </c>
      <c r="X186" s="102">
        <f>HDSD!$F$4</f>
        <v>5</v>
      </c>
      <c r="Y186" s="102">
        <f>SUMIFS('2. Đi muộn về sớm'!$K:$K,
'2. Đi muộn về sớm'!$B:$B,$A186,
'2. Đi muộn về sớm'!$D:$D,$J186)</f>
        <v>0</v>
      </c>
      <c r="Z186" s="110">
        <f t="shared" si="274"/>
        <v>0</v>
      </c>
      <c r="AA186" s="110">
        <f t="shared" si="275"/>
        <v>0</v>
      </c>
      <c r="AB186" s="111">
        <f t="shared" si="276"/>
        <v>0</v>
      </c>
      <c r="AC186" s="112">
        <f t="shared" si="201"/>
        <v>0</v>
      </c>
      <c r="AD186" s="113">
        <f t="shared" si="202"/>
        <v>0</v>
      </c>
      <c r="AE186" s="111">
        <f t="shared" si="277"/>
        <v>0</v>
      </c>
      <c r="AF186" s="113">
        <f t="shared" si="203"/>
        <v>0</v>
      </c>
      <c r="AG186" s="113">
        <f t="shared" si="204"/>
        <v>0</v>
      </c>
      <c r="AH186" s="114">
        <f t="shared" si="241"/>
        <v>9.7349999999999994</v>
      </c>
      <c r="AI186" s="102" t="str">
        <f t="shared" si="205"/>
        <v>X:8</v>
      </c>
      <c r="AJ186" s="102" t="str">
        <f t="shared" si="206"/>
        <v>NV12643787</v>
      </c>
      <c r="AK186" s="102" t="str">
        <f>IF(OR(J186&lt;D186,J186&gt;F186),"",
IFERROR(INDEX('3. Đơn xin nghỉ'!$K:$K,MATCH('4. Tổng hợp dữ liệu'!AJ186,'3. Đơn xin nghỉ'!$I:$I,0),1),
IF(AND(AU186="Không CC",I186&lt;&gt;1),"Ro:8","")))</f>
        <v/>
      </c>
      <c r="AL186" s="102" t="str">
        <f t="shared" si="207"/>
        <v/>
      </c>
      <c r="AM186" s="102" t="str">
        <f t="shared" si="278"/>
        <v>X:8</v>
      </c>
      <c r="AN186" s="102" t="s">
        <v>92</v>
      </c>
      <c r="AO186" s="102"/>
      <c r="AP186" s="115">
        <f>IFERROR(VLOOKUP(AN186,'Quy đổi công'!A:D,3,0),0)</f>
        <v>1</v>
      </c>
      <c r="AQ186" s="115">
        <f>IFERROR(VLOOKUP(AN186,'Quy đổi công'!A:D,4,0),0)</f>
        <v>0</v>
      </c>
      <c r="AR186" s="115">
        <f t="shared" si="208"/>
        <v>0</v>
      </c>
      <c r="AS186" s="115">
        <f t="shared" si="279"/>
        <v>1</v>
      </c>
      <c r="AT186" s="115">
        <f t="shared" si="280"/>
        <v>0</v>
      </c>
      <c r="AU186" s="102" t="str">
        <f t="shared" si="209"/>
        <v/>
      </c>
      <c r="AV186" s="102" t="str">
        <f t="shared" si="210"/>
        <v/>
      </c>
      <c r="AW186" s="102" t="str">
        <f t="shared" si="211"/>
        <v/>
      </c>
      <c r="AX186" s="102" t="str">
        <f t="shared" si="212"/>
        <v/>
      </c>
      <c r="AY186" s="102" t="str">
        <f t="shared" si="213"/>
        <v/>
      </c>
      <c r="AZ186" s="102"/>
      <c r="BA186" s="102">
        <f>IF(AV186&lt;&gt;0,COUNTIFS($A$7:A186,A186,$AV$7:AV186,"Quên check in"))
+IF(AW186&lt;&gt;0,COUNTIFS($A$7:A186,A186,$AW$7:AW186,"Quên check in"))
+IF(AX186&lt;&gt;0,COUNTIFS($A$7:A186,A186,$AX$7:AX186,"Quên check out"))
+IF(AY186&lt;&gt;0,COUNTIFS($A$7:A186,A186,$AY$7:AY186,"Quên check out"))</f>
        <v>0</v>
      </c>
      <c r="BB186" s="143">
        <f t="shared" si="214"/>
        <v>0</v>
      </c>
    </row>
    <row r="187" spans="1:54" s="83" customFormat="1" ht="14.1" customHeight="1" x14ac:dyDescent="0.3">
      <c r="A187" s="103" t="s">
        <v>4</v>
      </c>
      <c r="B187" s="104" t="s">
        <v>14</v>
      </c>
      <c r="C187" s="105">
        <v>4700000</v>
      </c>
      <c r="D187" s="106">
        <v>43388</v>
      </c>
      <c r="E187" s="107">
        <v>43525</v>
      </c>
      <c r="F187" s="107">
        <v>73415</v>
      </c>
      <c r="G187" s="105">
        <v>26</v>
      </c>
      <c r="H187" s="105">
        <f t="shared" ref="H187:H196" si="281">WEEKDAY(J187,1)</f>
        <v>3</v>
      </c>
      <c r="I187" s="105"/>
      <c r="J187" s="108">
        <v>43788</v>
      </c>
      <c r="K187" s="108" t="str">
        <f t="shared" ref="K187:K196" si="282">$A187&amp;$J187&amp;"Vào"&amp;"Sáng"</f>
        <v>NV10143788VàoSáng</v>
      </c>
      <c r="L187" s="102" t="str">
        <f>IFERROR(VLOOKUP(K187,'1. Vân tay'!$F:$G,2,0),0)</f>
        <v>08:05:19</v>
      </c>
      <c r="M187" s="108" t="str">
        <f t="shared" ref="M187:M196" si="283">$A187&amp;$J187&amp;"Ra"&amp;"Sáng"</f>
        <v>NV10143788RaSáng</v>
      </c>
      <c r="N187" s="102">
        <f>IFERROR(VLOOKUP(M187,'1. Vân tay'!$F:$G,2,0),0)</f>
        <v>0</v>
      </c>
      <c r="O187" s="108" t="str">
        <f t="shared" ref="O187:O196" si="284">$A187&amp;$J187&amp;"Vào"&amp;"Chiều"</f>
        <v>NV10143788VàoChiều</v>
      </c>
      <c r="P187" s="102">
        <f>IFERROR(VLOOKUP(O187,'1. Vân tay'!$F:$G,2,0),0)</f>
        <v>0</v>
      </c>
      <c r="Q187" s="108" t="str">
        <f t="shared" ref="Q187:Q196" si="285">$A187&amp;$J187&amp;"Ra"&amp;"Chiều"</f>
        <v>NV10143788RaChiều</v>
      </c>
      <c r="R187" s="102" t="str">
        <f>IFERROR(VLOOKUP(Q187,'1. Vân tay'!$F:$G,2,0),0)</f>
        <v>17:31:43</v>
      </c>
      <c r="S187" s="102">
        <f t="shared" ref="S187:S196" si="286">IF(OR(
(AND(L187&lt;&gt;0,P187&lt;&gt;0)),
(AND(N187&lt;&gt;0,R187&lt;&gt;0))),"Kiểm tra",0)</f>
        <v>0</v>
      </c>
      <c r="T187" s="109">
        <v>0.33333333333333331</v>
      </c>
      <c r="U187" s="109">
        <v>0.5</v>
      </c>
      <c r="V187" s="109">
        <v>0.5625</v>
      </c>
      <c r="W187" s="109">
        <v>0.72916666666666663</v>
      </c>
      <c r="X187" s="102">
        <f>HDSD!$F$4</f>
        <v>5</v>
      </c>
      <c r="Y187" s="102">
        <f>SUMIFS('2. Đi muộn về sớm'!$K:$K,
'2. Đi muộn về sớm'!$B:$B,$A187,
'2. Đi muộn về sớm'!$D:$D,$J187)</f>
        <v>0</v>
      </c>
      <c r="Z187" s="110">
        <f t="shared" ref="Z187:Z196" si="287">IF(L187=0,0,IFERROR((HOUR(L187-T187)*60+MINUTE(L187-T187)+SECOND(L187-T187)/60),0))
+IF(N187=0,0, IFERROR((HOUR(U187-N187)*60+MINUTE(U187-N187)+SECOND(U187-N187)/60),0))
+IF(P187=0,0, IFERROR((HOUR(P187-V187)*60+MINUTE(P187-V187)+SECOND(P187-V187)/60),0))
+IF(R187=0,0, IFERROR((HOUR(W187-R187)*60+MINUTE(W187-R187)+SECOND(W187-R187)/60),0))</f>
        <v>5.3166666666666664</v>
      </c>
      <c r="AA187" s="110">
        <f t="shared" ref="AA187:AA196" si="288">IF(L187=0,0,IFERROR((HOUR(L187-"09:00:00")*60+MINUTE(L187-"09:00:00")+SECOND(L187-"09:00:00")/60),0))
+IF(N187=0,0, IFERROR((HOUR(U187-N187)*60+MINUTE(U187-N187)+SECOND(U187-N187)/60),0))
+IF(P187=0,0, IFERROR((HOUR(P187-V187)*60+MINUTE(P187-V187)+SECOND(P187-V187)/60),0))
+IF(R187=0,0, IFERROR((HOUR("16:30:00"-R187)*60+MINUTE("16:30:00"-R187)+SECOND("16:30:00"-R187)/60),0))</f>
        <v>0</v>
      </c>
      <c r="AB187" s="111">
        <f t="shared" ref="AB187:AB196" si="289">Z187-AA187</f>
        <v>5.3166666666666664</v>
      </c>
      <c r="AC187" s="112">
        <f t="shared" si="201"/>
        <v>0.31666666666666643</v>
      </c>
      <c r="AD187" s="113">
        <f t="shared" si="202"/>
        <v>633.3333333333328</v>
      </c>
      <c r="AE187" s="111">
        <f t="shared" ref="AE187:AE196" si="290">AA187/60/8</f>
        <v>0</v>
      </c>
      <c r="AF187" s="113">
        <f t="shared" si="203"/>
        <v>0</v>
      </c>
      <c r="AG187" s="113">
        <f t="shared" si="204"/>
        <v>633.3333333333328</v>
      </c>
      <c r="AH187" s="114">
        <f t="shared" si="241"/>
        <v>9.44</v>
      </c>
      <c r="AI187" s="102" t="str">
        <f t="shared" si="205"/>
        <v>X:8</v>
      </c>
      <c r="AJ187" s="102" t="str">
        <f t="shared" si="206"/>
        <v>NV10143788</v>
      </c>
      <c r="AK187" s="102" t="str">
        <f>IF(OR(J187&lt;D187,J187&gt;F187),"",
IFERROR(INDEX('3. Đơn xin nghỉ'!$K:$K,MATCH('4. Tổng hợp dữ liệu'!AJ187,'3. Đơn xin nghỉ'!$I:$I,0),1),
IF(AND(AU187="Không CC",I187&lt;&gt;1),"Ro:8","")))</f>
        <v/>
      </c>
      <c r="AL187" s="102" t="str">
        <f t="shared" si="207"/>
        <v/>
      </c>
      <c r="AM187" s="102" t="str">
        <f t="shared" ref="AM187:AM196" si="291">IF(OR(AI187="",AK187=""),AI187&amp;AK187,AI187&amp;","&amp;AK187)&amp;AL187</f>
        <v>X:8</v>
      </c>
      <c r="AN187" s="102" t="s">
        <v>92</v>
      </c>
      <c r="AO187" s="102"/>
      <c r="AP187" s="115">
        <f>IFERROR(VLOOKUP(AN187,'Quy đổi công'!A:D,3,0),0)</f>
        <v>1</v>
      </c>
      <c r="AQ187" s="115">
        <f>IFERROR(VLOOKUP(AN187,'Quy đổi công'!A:D,4,0),0)</f>
        <v>0</v>
      </c>
      <c r="AR187" s="115">
        <f t="shared" si="208"/>
        <v>0</v>
      </c>
      <c r="AS187" s="115">
        <f t="shared" ref="AS187:AS196" si="292">AP187-AR187</f>
        <v>1</v>
      </c>
      <c r="AT187" s="115">
        <f t="shared" ref="AT187:AT196" si="293">IF(AN187="P8",1)
+IF(OR(AN187="X:4,P:4",AN187="P:4,Rv:4",AN187="P:4,Ro:4"),1/2)</f>
        <v>0</v>
      </c>
      <c r="AU187" s="102" t="str">
        <f t="shared" si="209"/>
        <v/>
      </c>
      <c r="AV187" s="102" t="str">
        <f t="shared" si="210"/>
        <v/>
      </c>
      <c r="AW187" s="102" t="str">
        <f t="shared" si="211"/>
        <v/>
      </c>
      <c r="AX187" s="102" t="str">
        <f t="shared" si="212"/>
        <v/>
      </c>
      <c r="AY187" s="102" t="str">
        <f t="shared" si="213"/>
        <v/>
      </c>
      <c r="AZ187" s="102"/>
      <c r="BA187" s="102">
        <f>IF(AV187&lt;&gt;0,COUNTIFS($A$7:A187,A187,$AV$7:AV187,"Quên check in"))
+IF(AW187&lt;&gt;0,COUNTIFS($A$7:A187,A187,$AW$7:AW187,"Quên check in"))
+IF(AX187&lt;&gt;0,COUNTIFS($A$7:A187,A187,$AX$7:AX187,"Quên check out"))
+IF(AY187&lt;&gt;0,COUNTIFS($A$7:A187,A187,$AY$7:AY187,"Quên check out"))</f>
        <v>0</v>
      </c>
      <c r="BB187" s="143">
        <f t="shared" si="214"/>
        <v>0</v>
      </c>
    </row>
    <row r="188" spans="1:54" s="83" customFormat="1" ht="14.1" customHeight="1" x14ac:dyDescent="0.3">
      <c r="A188" s="103" t="s">
        <v>5</v>
      </c>
      <c r="B188" s="104" t="s">
        <v>28</v>
      </c>
      <c r="C188" s="105">
        <v>10000000</v>
      </c>
      <c r="D188" s="106">
        <v>43409</v>
      </c>
      <c r="E188" s="107">
        <v>43678</v>
      </c>
      <c r="F188" s="107">
        <v>73415</v>
      </c>
      <c r="G188" s="105">
        <v>26</v>
      </c>
      <c r="H188" s="105">
        <f t="shared" si="281"/>
        <v>3</v>
      </c>
      <c r="I188" s="105"/>
      <c r="J188" s="108">
        <v>43788</v>
      </c>
      <c r="K188" s="108" t="str">
        <f t="shared" si="282"/>
        <v>NV10743788VàoSáng</v>
      </c>
      <c r="L188" s="102" t="str">
        <f>IFERROR(VLOOKUP(K188,'1. Vân tay'!$F:$G,2,0),0)</f>
        <v>07:51:25</v>
      </c>
      <c r="M188" s="108" t="str">
        <f t="shared" si="283"/>
        <v>NV10743788RaSáng</v>
      </c>
      <c r="N188" s="102">
        <f>IFERROR(VLOOKUP(M188,'1. Vân tay'!$F:$G,2,0),0)</f>
        <v>0</v>
      </c>
      <c r="O188" s="108" t="str">
        <f t="shared" si="284"/>
        <v>NV10743788VàoChiều</v>
      </c>
      <c r="P188" s="102">
        <f>IFERROR(VLOOKUP(O188,'1. Vân tay'!$F:$G,2,0),0)</f>
        <v>0</v>
      </c>
      <c r="Q188" s="108" t="str">
        <f t="shared" si="285"/>
        <v>NV10743788RaChiều</v>
      </c>
      <c r="R188" s="102">
        <f>IFERROR(VLOOKUP(Q188,'1. Vân tay'!$F:$G,2,0),0)</f>
        <v>0</v>
      </c>
      <c r="S188" s="102">
        <f t="shared" si="286"/>
        <v>0</v>
      </c>
      <c r="T188" s="109">
        <v>0.33333333333333331</v>
      </c>
      <c r="U188" s="109">
        <v>0.5</v>
      </c>
      <c r="V188" s="109">
        <v>0.5625</v>
      </c>
      <c r="W188" s="109">
        <v>0.72916666666666663</v>
      </c>
      <c r="X188" s="102">
        <f>HDSD!$F$4</f>
        <v>5</v>
      </c>
      <c r="Y188" s="102">
        <f>SUMIFS('2. Đi muộn về sớm'!$K:$K,
'2. Đi muộn về sớm'!$B:$B,$A188,
'2. Đi muộn về sớm'!$D:$D,$J188)</f>
        <v>0</v>
      </c>
      <c r="Z188" s="110">
        <f t="shared" si="287"/>
        <v>0</v>
      </c>
      <c r="AA188" s="110">
        <f t="shared" si="288"/>
        <v>0</v>
      </c>
      <c r="AB188" s="111">
        <f t="shared" si="289"/>
        <v>0</v>
      </c>
      <c r="AC188" s="112">
        <f t="shared" si="201"/>
        <v>0</v>
      </c>
      <c r="AD188" s="113">
        <f t="shared" si="202"/>
        <v>0</v>
      </c>
      <c r="AE188" s="111">
        <f t="shared" si="290"/>
        <v>0</v>
      </c>
      <c r="AF188" s="113">
        <f t="shared" si="203"/>
        <v>0</v>
      </c>
      <c r="AG188" s="113">
        <f t="shared" si="204"/>
        <v>0</v>
      </c>
      <c r="AH188" s="114">
        <f t="shared" si="241"/>
        <v>4.1430555555555557</v>
      </c>
      <c r="AI188" s="102" t="str">
        <f t="shared" si="205"/>
        <v>X:4</v>
      </c>
      <c r="AJ188" s="102" t="str">
        <f t="shared" si="206"/>
        <v>NV10743788</v>
      </c>
      <c r="AK188" s="102" t="str">
        <f>IF(OR(J188&lt;D188,J188&gt;F188),"",
IFERROR(INDEX('3. Đơn xin nghỉ'!$K:$K,MATCH('4. Tổng hợp dữ liệu'!AJ188,'3. Đơn xin nghỉ'!$I:$I,0),1),
IF(AND(AU188="Không CC",I188&lt;&gt;1),"Ro:8","")))</f>
        <v/>
      </c>
      <c r="AL188" s="102" t="str">
        <f t="shared" si="207"/>
        <v/>
      </c>
      <c r="AM188" s="102" t="str">
        <f t="shared" si="291"/>
        <v>X:4</v>
      </c>
      <c r="AN188" s="102" t="s">
        <v>92</v>
      </c>
      <c r="AO188" s="102" t="s">
        <v>281</v>
      </c>
      <c r="AP188" s="115">
        <f>IFERROR(VLOOKUP(AN188,'Quy đổi công'!A:D,3,0),0)</f>
        <v>1</v>
      </c>
      <c r="AQ188" s="115">
        <f>IFERROR(VLOOKUP(AN188,'Quy đổi công'!A:D,4,0),0)</f>
        <v>0</v>
      </c>
      <c r="AR188" s="115">
        <f t="shared" si="208"/>
        <v>0</v>
      </c>
      <c r="AS188" s="115">
        <f t="shared" si="292"/>
        <v>1</v>
      </c>
      <c r="AT188" s="115">
        <f t="shared" si="293"/>
        <v>0</v>
      </c>
      <c r="AU188" s="102" t="str">
        <f t="shared" si="209"/>
        <v/>
      </c>
      <c r="AV188" s="102" t="str">
        <f t="shared" si="210"/>
        <v/>
      </c>
      <c r="AW188" s="102" t="str">
        <f t="shared" si="211"/>
        <v/>
      </c>
      <c r="AX188" s="102" t="str">
        <f t="shared" si="212"/>
        <v>Quên check out</v>
      </c>
      <c r="AY188" s="102" t="str">
        <f t="shared" si="213"/>
        <v/>
      </c>
      <c r="AZ188" s="102" t="s">
        <v>230</v>
      </c>
      <c r="BA188" s="102">
        <f>IF(AV188&lt;&gt;0,COUNTIFS($A$7:A188,A188,$AV$7:AV188,"Quên check in"))
+IF(AW188&lt;&gt;0,COUNTIFS($A$7:A188,A188,$AW$7:AW188,"Quên check in"))
+IF(AX188&lt;&gt;0,COUNTIFS($A$7:A188,A188,$AX$7:AX188,"Quên check out"))
+IF(AY188&lt;&gt;0,COUNTIFS($A$7:A188,A188,$AY$7:AY188,"Quên check out"))</f>
        <v>4</v>
      </c>
      <c r="BB188" s="143">
        <f t="shared" si="214"/>
        <v>50000</v>
      </c>
    </row>
    <row r="189" spans="1:54" s="83" customFormat="1" ht="14.1" customHeight="1" x14ac:dyDescent="0.3">
      <c r="A189" s="103" t="s">
        <v>6</v>
      </c>
      <c r="B189" s="104" t="s">
        <v>15</v>
      </c>
      <c r="C189" s="105">
        <v>4700000</v>
      </c>
      <c r="D189" s="106">
        <v>43409</v>
      </c>
      <c r="E189" s="107">
        <v>43617</v>
      </c>
      <c r="F189" s="107">
        <v>73415</v>
      </c>
      <c r="G189" s="105">
        <v>26</v>
      </c>
      <c r="H189" s="105">
        <f t="shared" si="281"/>
        <v>3</v>
      </c>
      <c r="I189" s="105"/>
      <c r="J189" s="108">
        <v>43788</v>
      </c>
      <c r="K189" s="108" t="str">
        <f t="shared" si="282"/>
        <v>NV10843788VàoSáng</v>
      </c>
      <c r="L189" s="102">
        <f>IFERROR(VLOOKUP(K189,'1. Vân tay'!$F:$G,2,0),0)</f>
        <v>0</v>
      </c>
      <c r="M189" s="108" t="str">
        <f t="shared" si="283"/>
        <v>NV10843788RaSáng</v>
      </c>
      <c r="N189" s="102">
        <f>IFERROR(VLOOKUP(M189,'1. Vân tay'!$F:$G,2,0),0)</f>
        <v>0</v>
      </c>
      <c r="O189" s="108" t="str">
        <f t="shared" si="284"/>
        <v>NV10843788VàoChiều</v>
      </c>
      <c r="P189" s="102">
        <f>IFERROR(VLOOKUP(O189,'1. Vân tay'!$F:$G,2,0),0)</f>
        <v>0</v>
      </c>
      <c r="Q189" s="108" t="str">
        <f t="shared" si="285"/>
        <v>NV10843788RaChiều</v>
      </c>
      <c r="R189" s="102">
        <f>IFERROR(VLOOKUP(Q189,'1. Vân tay'!$F:$G,2,0),0)</f>
        <v>0</v>
      </c>
      <c r="S189" s="102">
        <f t="shared" si="286"/>
        <v>0</v>
      </c>
      <c r="T189" s="109">
        <v>0.33333333333333331</v>
      </c>
      <c r="U189" s="109">
        <v>0.5</v>
      </c>
      <c r="V189" s="109">
        <v>0.5625</v>
      </c>
      <c r="W189" s="109">
        <v>0.72916666666666663</v>
      </c>
      <c r="X189" s="102">
        <f>HDSD!$F$4</f>
        <v>5</v>
      </c>
      <c r="Y189" s="102">
        <f>SUMIFS('2. Đi muộn về sớm'!$K:$K,
'2. Đi muộn về sớm'!$B:$B,$A189,
'2. Đi muộn về sớm'!$D:$D,$J189)</f>
        <v>0</v>
      </c>
      <c r="Z189" s="110">
        <f t="shared" si="287"/>
        <v>0</v>
      </c>
      <c r="AA189" s="110">
        <f t="shared" si="288"/>
        <v>0</v>
      </c>
      <c r="AB189" s="111">
        <f t="shared" si="289"/>
        <v>0</v>
      </c>
      <c r="AC189" s="112">
        <f t="shared" si="201"/>
        <v>0</v>
      </c>
      <c r="AD189" s="113">
        <f t="shared" si="202"/>
        <v>0</v>
      </c>
      <c r="AE189" s="111">
        <f t="shared" si="290"/>
        <v>0</v>
      </c>
      <c r="AF189" s="113">
        <f t="shared" si="203"/>
        <v>0</v>
      </c>
      <c r="AG189" s="113">
        <f t="shared" si="204"/>
        <v>0</v>
      </c>
      <c r="AH189" s="114">
        <f t="shared" si="241"/>
        <v>0</v>
      </c>
      <c r="AI189" s="102" t="str">
        <f t="shared" si="205"/>
        <v/>
      </c>
      <c r="AJ189" s="102" t="str">
        <f t="shared" si="206"/>
        <v>NV10843788</v>
      </c>
      <c r="AK189" s="102" t="str">
        <f>IF(OR(J189&lt;D189,J189&gt;F189),"",
IFERROR(INDEX('3. Đơn xin nghỉ'!$K:$K,MATCH('4. Tổng hợp dữ liệu'!AJ189,'3. Đơn xin nghỉ'!$I:$I,0),1),
IF(AND(AU189="Không CC",I189&lt;&gt;1),"Ro:8","")))</f>
        <v>P:8</v>
      </c>
      <c r="AL189" s="102" t="str">
        <f t="shared" si="207"/>
        <v/>
      </c>
      <c r="AM189" s="102" t="str">
        <f t="shared" si="291"/>
        <v>P:8</v>
      </c>
      <c r="AN189" s="102" t="s">
        <v>82</v>
      </c>
      <c r="AO189" s="102"/>
      <c r="AP189" s="115">
        <f>IFERROR(VLOOKUP(AN189,'Quy đổi công'!A:D,3,0),0)</f>
        <v>1</v>
      </c>
      <c r="AQ189" s="115">
        <f>IFERROR(VLOOKUP(AN189,'Quy đổi công'!A:D,4,0),0)</f>
        <v>0</v>
      </c>
      <c r="AR189" s="115">
        <f t="shared" si="208"/>
        <v>0</v>
      </c>
      <c r="AS189" s="115">
        <f t="shared" si="292"/>
        <v>1</v>
      </c>
      <c r="AT189" s="115">
        <f t="shared" si="293"/>
        <v>0</v>
      </c>
      <c r="AU189" s="102" t="str">
        <f t="shared" si="209"/>
        <v>Không CC</v>
      </c>
      <c r="AV189" s="102" t="str">
        <f t="shared" si="210"/>
        <v/>
      </c>
      <c r="AW189" s="102" t="str">
        <f t="shared" si="211"/>
        <v/>
      </c>
      <c r="AX189" s="102" t="str">
        <f t="shared" si="212"/>
        <v/>
      </c>
      <c r="AY189" s="102" t="str">
        <f t="shared" si="213"/>
        <v/>
      </c>
      <c r="AZ189" s="102"/>
      <c r="BA189" s="102">
        <f>IF(AV189&lt;&gt;0,COUNTIFS($A$7:A189,A189,$AV$7:AV189,"Quên check in"))
+IF(AW189&lt;&gt;0,COUNTIFS($A$7:A189,A189,$AW$7:AW189,"Quên check in"))
+IF(AX189&lt;&gt;0,COUNTIFS($A$7:A189,A189,$AX$7:AX189,"Quên check out"))
+IF(AY189&lt;&gt;0,COUNTIFS($A$7:A189,A189,$AY$7:AY189,"Quên check out"))</f>
        <v>0</v>
      </c>
      <c r="BB189" s="143">
        <f t="shared" si="214"/>
        <v>0</v>
      </c>
    </row>
    <row r="190" spans="1:54" s="83" customFormat="1" ht="14.1" customHeight="1" x14ac:dyDescent="0.3">
      <c r="A190" s="103" t="s">
        <v>7</v>
      </c>
      <c r="B190" s="104" t="s">
        <v>16</v>
      </c>
      <c r="C190" s="105">
        <v>5000000</v>
      </c>
      <c r="D190" s="106">
        <v>43416</v>
      </c>
      <c r="E190" s="107">
        <v>43617</v>
      </c>
      <c r="F190" s="107">
        <v>73415</v>
      </c>
      <c r="G190" s="105">
        <v>26</v>
      </c>
      <c r="H190" s="105">
        <f t="shared" si="281"/>
        <v>3</v>
      </c>
      <c r="I190" s="105"/>
      <c r="J190" s="108">
        <v>43788</v>
      </c>
      <c r="K190" s="108" t="str">
        <f t="shared" si="282"/>
        <v>NV10943788VàoSáng</v>
      </c>
      <c r="L190" s="102" t="str">
        <f>IFERROR(VLOOKUP(K190,'1. Vân tay'!$F:$G,2,0),0)</f>
        <v>07:56:28</v>
      </c>
      <c r="M190" s="108" t="str">
        <f t="shared" si="283"/>
        <v>NV10943788RaSáng</v>
      </c>
      <c r="N190" s="102">
        <f>IFERROR(VLOOKUP(M190,'1. Vân tay'!$F:$G,2,0),0)</f>
        <v>0</v>
      </c>
      <c r="O190" s="108" t="str">
        <f t="shared" si="284"/>
        <v>NV10943788VàoChiều</v>
      </c>
      <c r="P190" s="102">
        <f>IFERROR(VLOOKUP(O190,'1. Vân tay'!$F:$G,2,0),0)</f>
        <v>0</v>
      </c>
      <c r="Q190" s="108" t="str">
        <f t="shared" si="285"/>
        <v>NV10943788RaChiều</v>
      </c>
      <c r="R190" s="102" t="str">
        <f>IFERROR(VLOOKUP(Q190,'1. Vân tay'!$F:$G,2,0),0)</f>
        <v>17:32:22</v>
      </c>
      <c r="S190" s="102">
        <f t="shared" si="286"/>
        <v>0</v>
      </c>
      <c r="T190" s="109">
        <v>0.33333333333333331</v>
      </c>
      <c r="U190" s="109">
        <v>0.5</v>
      </c>
      <c r="V190" s="109">
        <v>0.5625</v>
      </c>
      <c r="W190" s="109">
        <v>0.72916666666666663</v>
      </c>
      <c r="X190" s="102">
        <f>HDSD!$F$4</f>
        <v>5</v>
      </c>
      <c r="Y190" s="102">
        <f>SUMIFS('2. Đi muộn về sớm'!$K:$K,
'2. Đi muộn về sớm'!$B:$B,$A190,
'2. Đi muộn về sớm'!$D:$D,$J190)</f>
        <v>0</v>
      </c>
      <c r="Z190" s="110">
        <f t="shared" si="287"/>
        <v>0</v>
      </c>
      <c r="AA190" s="110">
        <f t="shared" si="288"/>
        <v>0</v>
      </c>
      <c r="AB190" s="111">
        <f t="shared" si="289"/>
        <v>0</v>
      </c>
      <c r="AC190" s="112">
        <f t="shared" si="201"/>
        <v>0</v>
      </c>
      <c r="AD190" s="113">
        <f t="shared" si="202"/>
        <v>0</v>
      </c>
      <c r="AE190" s="111">
        <f t="shared" si="290"/>
        <v>0</v>
      </c>
      <c r="AF190" s="113">
        <f t="shared" si="203"/>
        <v>0</v>
      </c>
      <c r="AG190" s="113">
        <f t="shared" si="204"/>
        <v>0</v>
      </c>
      <c r="AH190" s="114">
        <f t="shared" si="241"/>
        <v>9.5983333333333345</v>
      </c>
      <c r="AI190" s="102" t="str">
        <f t="shared" si="205"/>
        <v>X:8</v>
      </c>
      <c r="AJ190" s="102" t="str">
        <f t="shared" si="206"/>
        <v>NV10943788</v>
      </c>
      <c r="AK190" s="102" t="str">
        <f>IF(OR(J190&lt;D190,J190&gt;F190),"",
IFERROR(INDEX('3. Đơn xin nghỉ'!$K:$K,MATCH('4. Tổng hợp dữ liệu'!AJ190,'3. Đơn xin nghỉ'!$I:$I,0),1),
IF(AND(AU190="Không CC",I190&lt;&gt;1),"Ro:8","")))</f>
        <v/>
      </c>
      <c r="AL190" s="102" t="str">
        <f t="shared" si="207"/>
        <v/>
      </c>
      <c r="AM190" s="102" t="str">
        <f t="shared" si="291"/>
        <v>X:8</v>
      </c>
      <c r="AN190" s="102" t="s">
        <v>92</v>
      </c>
      <c r="AO190" s="102"/>
      <c r="AP190" s="115">
        <f>IFERROR(VLOOKUP(AN190,'Quy đổi công'!A:D,3,0),0)</f>
        <v>1</v>
      </c>
      <c r="AQ190" s="115">
        <f>IFERROR(VLOOKUP(AN190,'Quy đổi công'!A:D,4,0),0)</f>
        <v>0</v>
      </c>
      <c r="AR190" s="115">
        <f t="shared" si="208"/>
        <v>0</v>
      </c>
      <c r="AS190" s="115">
        <f t="shared" si="292"/>
        <v>1</v>
      </c>
      <c r="AT190" s="115">
        <f t="shared" si="293"/>
        <v>0</v>
      </c>
      <c r="AU190" s="102" t="str">
        <f t="shared" si="209"/>
        <v/>
      </c>
      <c r="AV190" s="102" t="str">
        <f t="shared" si="210"/>
        <v/>
      </c>
      <c r="AW190" s="102" t="str">
        <f t="shared" si="211"/>
        <v/>
      </c>
      <c r="AX190" s="102" t="str">
        <f t="shared" si="212"/>
        <v/>
      </c>
      <c r="AY190" s="102" t="str">
        <f t="shared" si="213"/>
        <v/>
      </c>
      <c r="AZ190" s="102"/>
      <c r="BA190" s="102">
        <f>IF(AV190&lt;&gt;0,COUNTIFS($A$7:A190,A190,$AV$7:AV190,"Quên check in"))
+IF(AW190&lt;&gt;0,COUNTIFS($A$7:A190,A190,$AW$7:AW190,"Quên check in"))
+IF(AX190&lt;&gt;0,COUNTIFS($A$7:A190,A190,$AX$7:AX190,"Quên check out"))
+IF(AY190&lt;&gt;0,COUNTIFS($A$7:A190,A190,$AY$7:AY190,"Quên check out"))</f>
        <v>0</v>
      </c>
      <c r="BB190" s="143">
        <f t="shared" si="214"/>
        <v>0</v>
      </c>
    </row>
    <row r="191" spans="1:54" s="83" customFormat="1" ht="14.1" customHeight="1" x14ac:dyDescent="0.3">
      <c r="A191" s="103" t="s">
        <v>8</v>
      </c>
      <c r="B191" s="104" t="s">
        <v>17</v>
      </c>
      <c r="C191" s="105">
        <v>5000000</v>
      </c>
      <c r="D191" s="106">
        <v>43423</v>
      </c>
      <c r="E191" s="107">
        <v>43617</v>
      </c>
      <c r="F191" s="107">
        <v>73415</v>
      </c>
      <c r="G191" s="105">
        <v>26</v>
      </c>
      <c r="H191" s="105">
        <f t="shared" si="281"/>
        <v>3</v>
      </c>
      <c r="I191" s="105"/>
      <c r="J191" s="108">
        <v>43788</v>
      </c>
      <c r="K191" s="108" t="str">
        <f t="shared" si="282"/>
        <v>NV11343788VàoSáng</v>
      </c>
      <c r="L191" s="102" t="str">
        <f>IFERROR(VLOOKUP(K191,'1. Vân tay'!$F:$G,2,0),0)</f>
        <v>07:51:21</v>
      </c>
      <c r="M191" s="108" t="str">
        <f t="shared" si="283"/>
        <v>NV11343788RaSáng</v>
      </c>
      <c r="N191" s="102">
        <f>IFERROR(VLOOKUP(M191,'1. Vân tay'!$F:$G,2,0),0)</f>
        <v>0</v>
      </c>
      <c r="O191" s="108" t="str">
        <f t="shared" si="284"/>
        <v>NV11343788VàoChiều</v>
      </c>
      <c r="P191" s="102">
        <f>IFERROR(VLOOKUP(O191,'1. Vân tay'!$F:$G,2,0),0)</f>
        <v>0</v>
      </c>
      <c r="Q191" s="108" t="str">
        <f t="shared" si="285"/>
        <v>NV11343788RaChiều</v>
      </c>
      <c r="R191" s="102" t="str">
        <f>IFERROR(VLOOKUP(Q191,'1. Vân tay'!$F:$G,2,0),0)</f>
        <v>17:35:03</v>
      </c>
      <c r="S191" s="102">
        <f t="shared" si="286"/>
        <v>0</v>
      </c>
      <c r="T191" s="109">
        <v>0.33333333333333331</v>
      </c>
      <c r="U191" s="109">
        <v>0.5</v>
      </c>
      <c r="V191" s="109">
        <v>0.5625</v>
      </c>
      <c r="W191" s="109">
        <v>0.72916666666666663</v>
      </c>
      <c r="X191" s="102">
        <f>HDSD!$F$4</f>
        <v>5</v>
      </c>
      <c r="Y191" s="102">
        <f>SUMIFS('2. Đi muộn về sớm'!$K:$K,
'2. Đi muộn về sớm'!$B:$B,$A191,
'2. Đi muộn về sớm'!$D:$D,$J191)</f>
        <v>0</v>
      </c>
      <c r="Z191" s="110">
        <f t="shared" si="287"/>
        <v>0</v>
      </c>
      <c r="AA191" s="110">
        <f t="shared" si="288"/>
        <v>0</v>
      </c>
      <c r="AB191" s="111">
        <f t="shared" si="289"/>
        <v>0</v>
      </c>
      <c r="AC191" s="112">
        <f t="shared" si="201"/>
        <v>0</v>
      </c>
      <c r="AD191" s="113">
        <f t="shared" si="202"/>
        <v>0</v>
      </c>
      <c r="AE191" s="111">
        <f t="shared" si="290"/>
        <v>0</v>
      </c>
      <c r="AF191" s="113">
        <f t="shared" si="203"/>
        <v>0</v>
      </c>
      <c r="AG191" s="113">
        <f t="shared" si="204"/>
        <v>0</v>
      </c>
      <c r="AH191" s="114">
        <f t="shared" si="241"/>
        <v>9.7283333333333335</v>
      </c>
      <c r="AI191" s="102" t="str">
        <f t="shared" si="205"/>
        <v>X:8</v>
      </c>
      <c r="AJ191" s="102" t="str">
        <f t="shared" si="206"/>
        <v>NV11343788</v>
      </c>
      <c r="AK191" s="102" t="str">
        <f>IF(OR(J191&lt;D191,J191&gt;F191),"",
IFERROR(INDEX('3. Đơn xin nghỉ'!$K:$K,MATCH('4. Tổng hợp dữ liệu'!AJ191,'3. Đơn xin nghỉ'!$I:$I,0),1),
IF(AND(AU191="Không CC",I191&lt;&gt;1),"Ro:8","")))</f>
        <v/>
      </c>
      <c r="AL191" s="102" t="str">
        <f t="shared" si="207"/>
        <v/>
      </c>
      <c r="AM191" s="102" t="str">
        <f t="shared" si="291"/>
        <v>X:8</v>
      </c>
      <c r="AN191" s="102" t="s">
        <v>92</v>
      </c>
      <c r="AO191" s="102"/>
      <c r="AP191" s="115">
        <f>IFERROR(VLOOKUP(AN191,'Quy đổi công'!A:D,3,0),0)</f>
        <v>1</v>
      </c>
      <c r="AQ191" s="115">
        <f>IFERROR(VLOOKUP(AN191,'Quy đổi công'!A:D,4,0),0)</f>
        <v>0</v>
      </c>
      <c r="AR191" s="115">
        <f t="shared" si="208"/>
        <v>0</v>
      </c>
      <c r="AS191" s="115">
        <f t="shared" si="292"/>
        <v>1</v>
      </c>
      <c r="AT191" s="115">
        <f t="shared" si="293"/>
        <v>0</v>
      </c>
      <c r="AU191" s="102" t="str">
        <f t="shared" si="209"/>
        <v/>
      </c>
      <c r="AV191" s="102" t="str">
        <f t="shared" si="210"/>
        <v/>
      </c>
      <c r="AW191" s="102" t="str">
        <f t="shared" si="211"/>
        <v/>
      </c>
      <c r="AX191" s="102" t="str">
        <f t="shared" si="212"/>
        <v/>
      </c>
      <c r="AY191" s="102" t="str">
        <f t="shared" si="213"/>
        <v/>
      </c>
      <c r="AZ191" s="102"/>
      <c r="BA191" s="102">
        <f>IF(AV191&lt;&gt;0,COUNTIFS($A$7:A191,A191,$AV$7:AV191,"Quên check in"))
+IF(AW191&lt;&gt;0,COUNTIFS($A$7:A191,A191,$AW$7:AW191,"Quên check in"))
+IF(AX191&lt;&gt;0,COUNTIFS($A$7:A191,A191,$AX$7:AX191,"Quên check out"))
+IF(AY191&lt;&gt;0,COUNTIFS($A$7:A191,A191,$AY$7:AY191,"Quên check out"))</f>
        <v>1</v>
      </c>
      <c r="BB191" s="143">
        <f t="shared" si="214"/>
        <v>0</v>
      </c>
    </row>
    <row r="192" spans="1:54" s="83" customFormat="1" ht="14.1" customHeight="1" x14ac:dyDescent="0.3">
      <c r="A192" s="103" t="s">
        <v>9</v>
      </c>
      <c r="B192" s="104" t="s">
        <v>18</v>
      </c>
      <c r="C192" s="105">
        <v>4900000</v>
      </c>
      <c r="D192" s="106">
        <v>43437</v>
      </c>
      <c r="E192" s="107">
        <v>43617</v>
      </c>
      <c r="F192" s="107">
        <v>73415</v>
      </c>
      <c r="G192" s="105">
        <v>26</v>
      </c>
      <c r="H192" s="105">
        <f t="shared" si="281"/>
        <v>3</v>
      </c>
      <c r="I192" s="105"/>
      <c r="J192" s="108">
        <v>43788</v>
      </c>
      <c r="K192" s="108" t="str">
        <f t="shared" si="282"/>
        <v>NV11443788VàoSáng</v>
      </c>
      <c r="L192" s="102">
        <f>IFERROR(VLOOKUP(K192,'1. Vân tay'!$F:$G,2,0),0)</f>
        <v>0</v>
      </c>
      <c r="M192" s="108" t="str">
        <f t="shared" si="283"/>
        <v>NV11443788RaSáng</v>
      </c>
      <c r="N192" s="102">
        <f>IFERROR(VLOOKUP(M192,'1. Vân tay'!$F:$G,2,0),0)</f>
        <v>0</v>
      </c>
      <c r="O192" s="108" t="str">
        <f t="shared" si="284"/>
        <v>NV11443788VàoChiều</v>
      </c>
      <c r="P192" s="102">
        <f>IFERROR(VLOOKUP(O192,'1. Vân tay'!$F:$G,2,0),0)</f>
        <v>0</v>
      </c>
      <c r="Q192" s="108" t="str">
        <f t="shared" si="285"/>
        <v>NV11443788RaChiều</v>
      </c>
      <c r="R192" s="102">
        <f>IFERROR(VLOOKUP(Q192,'1. Vân tay'!$F:$G,2,0),0)</f>
        <v>0</v>
      </c>
      <c r="S192" s="102">
        <f t="shared" si="286"/>
        <v>0</v>
      </c>
      <c r="T192" s="109">
        <v>0.33333333333333331</v>
      </c>
      <c r="U192" s="109">
        <v>0.5</v>
      </c>
      <c r="V192" s="109">
        <v>0.5625</v>
      </c>
      <c r="W192" s="109">
        <v>0.72916666666666663</v>
      </c>
      <c r="X192" s="102">
        <f>HDSD!$F$4</f>
        <v>5</v>
      </c>
      <c r="Y192" s="102">
        <f>SUMIFS('2. Đi muộn về sớm'!$K:$K,
'2. Đi muộn về sớm'!$B:$B,$A192,
'2. Đi muộn về sớm'!$D:$D,$J192)</f>
        <v>0</v>
      </c>
      <c r="Z192" s="110">
        <f t="shared" si="287"/>
        <v>0</v>
      </c>
      <c r="AA192" s="110">
        <f t="shared" si="288"/>
        <v>0</v>
      </c>
      <c r="AB192" s="111">
        <f t="shared" si="289"/>
        <v>0</v>
      </c>
      <c r="AC192" s="112">
        <f t="shared" si="201"/>
        <v>0</v>
      </c>
      <c r="AD192" s="113">
        <f t="shared" si="202"/>
        <v>0</v>
      </c>
      <c r="AE192" s="111">
        <f t="shared" si="290"/>
        <v>0</v>
      </c>
      <c r="AF192" s="113">
        <f t="shared" si="203"/>
        <v>0</v>
      </c>
      <c r="AG192" s="113">
        <f t="shared" si="204"/>
        <v>0</v>
      </c>
      <c r="AH192" s="114">
        <f t="shared" si="241"/>
        <v>0</v>
      </c>
      <c r="AI192" s="102" t="str">
        <f t="shared" si="205"/>
        <v/>
      </c>
      <c r="AJ192" s="102" t="str">
        <f t="shared" si="206"/>
        <v>NV11443788</v>
      </c>
      <c r="AK192" s="102" t="str">
        <f>IF(OR(J192&lt;D192,J192&gt;F192),"",
IFERROR(INDEX('3. Đơn xin nghỉ'!$K:$K,MATCH('4. Tổng hợp dữ liệu'!AJ192,'3. Đơn xin nghỉ'!$I:$I,0),1),
IF(AND(AU192="Không CC",I192&lt;&gt;1),"Ro:8","")))</f>
        <v>Ro:8</v>
      </c>
      <c r="AL192" s="102" t="str">
        <f t="shared" si="207"/>
        <v/>
      </c>
      <c r="AM192" s="102" t="str">
        <f t="shared" si="291"/>
        <v>Ro:8</v>
      </c>
      <c r="AN192" s="102" t="s">
        <v>81</v>
      </c>
      <c r="AO192" s="102"/>
      <c r="AP192" s="115">
        <f>IFERROR(VLOOKUP(AN192,'Quy đổi công'!A:D,3,0),0)</f>
        <v>0</v>
      </c>
      <c r="AQ192" s="115">
        <f>IFERROR(VLOOKUP(AN192,'Quy đổi công'!A:D,4,0),0)</f>
        <v>1</v>
      </c>
      <c r="AR192" s="115">
        <f t="shared" si="208"/>
        <v>0</v>
      </c>
      <c r="AS192" s="115">
        <f t="shared" si="292"/>
        <v>0</v>
      </c>
      <c r="AT192" s="115">
        <f t="shared" si="293"/>
        <v>0</v>
      </c>
      <c r="AU192" s="102" t="str">
        <f t="shared" si="209"/>
        <v>Không CC</v>
      </c>
      <c r="AV192" s="102" t="str">
        <f t="shared" si="210"/>
        <v/>
      </c>
      <c r="AW192" s="102" t="str">
        <f t="shared" si="211"/>
        <v/>
      </c>
      <c r="AX192" s="102" t="str">
        <f t="shared" si="212"/>
        <v/>
      </c>
      <c r="AY192" s="102" t="str">
        <f t="shared" si="213"/>
        <v/>
      </c>
      <c r="AZ192" s="102"/>
      <c r="BA192" s="102">
        <f>IF(AV192&lt;&gt;0,COUNTIFS($A$7:A192,A192,$AV$7:AV192,"Quên check in"))
+IF(AW192&lt;&gt;0,COUNTIFS($A$7:A192,A192,$AW$7:AW192,"Quên check in"))
+IF(AX192&lt;&gt;0,COUNTIFS($A$7:A192,A192,$AX$7:AX192,"Quên check out"))
+IF(AY192&lt;&gt;0,COUNTIFS($A$7:A192,A192,$AY$7:AY192,"Quên check out"))</f>
        <v>1</v>
      </c>
      <c r="BB192" s="143">
        <f t="shared" si="214"/>
        <v>0</v>
      </c>
    </row>
    <row r="193" spans="1:54" s="83" customFormat="1" ht="14.1" customHeight="1" x14ac:dyDescent="0.3">
      <c r="A193" s="103" t="s">
        <v>10</v>
      </c>
      <c r="B193" s="104" t="s">
        <v>19</v>
      </c>
      <c r="C193" s="105">
        <v>5000000</v>
      </c>
      <c r="D193" s="106">
        <v>43445</v>
      </c>
      <c r="E193" s="107">
        <v>43647</v>
      </c>
      <c r="F193" s="107">
        <v>73415</v>
      </c>
      <c r="G193" s="105">
        <v>26</v>
      </c>
      <c r="H193" s="105">
        <f t="shared" si="281"/>
        <v>3</v>
      </c>
      <c r="I193" s="105"/>
      <c r="J193" s="108">
        <v>43788</v>
      </c>
      <c r="K193" s="108" t="str">
        <f t="shared" si="282"/>
        <v>NV11843788VàoSáng</v>
      </c>
      <c r="L193" s="102" t="str">
        <f>IFERROR(VLOOKUP(K193,'1. Vân tay'!$F:$G,2,0),0)</f>
        <v>08:13:00</v>
      </c>
      <c r="M193" s="108" t="str">
        <f t="shared" si="283"/>
        <v>NV11843788RaSáng</v>
      </c>
      <c r="N193" s="102">
        <f>IFERROR(VLOOKUP(M193,'1. Vân tay'!$F:$G,2,0),0)</f>
        <v>0</v>
      </c>
      <c r="O193" s="108" t="str">
        <f t="shared" si="284"/>
        <v>NV11843788VàoChiều</v>
      </c>
      <c r="P193" s="102">
        <f>IFERROR(VLOOKUP(O193,'1. Vân tay'!$F:$G,2,0),0)</f>
        <v>0</v>
      </c>
      <c r="Q193" s="108" t="str">
        <f t="shared" si="285"/>
        <v>NV11843788RaChiều</v>
      </c>
      <c r="R193" s="102" t="str">
        <f>IFERROR(VLOOKUP(Q193,'1. Vân tay'!$F:$G,2,0),0)</f>
        <v>17:45:21</v>
      </c>
      <c r="S193" s="102">
        <f t="shared" si="286"/>
        <v>0</v>
      </c>
      <c r="T193" s="109">
        <v>0.33333333333333331</v>
      </c>
      <c r="U193" s="109">
        <v>0.5</v>
      </c>
      <c r="V193" s="109">
        <v>0.5625</v>
      </c>
      <c r="W193" s="109">
        <v>0.72916666666666663</v>
      </c>
      <c r="X193" s="102">
        <f>HDSD!$F$4</f>
        <v>5</v>
      </c>
      <c r="Y193" s="102">
        <f>SUMIFS('2. Đi muộn về sớm'!$K:$K,
'2. Đi muộn về sớm'!$B:$B,$A193,
'2. Đi muộn về sớm'!$D:$D,$J193)</f>
        <v>20</v>
      </c>
      <c r="Z193" s="110">
        <f t="shared" si="287"/>
        <v>13</v>
      </c>
      <c r="AA193" s="110">
        <f t="shared" si="288"/>
        <v>0</v>
      </c>
      <c r="AB193" s="111">
        <f t="shared" si="289"/>
        <v>13</v>
      </c>
      <c r="AC193" s="112">
        <f t="shared" si="201"/>
        <v>0</v>
      </c>
      <c r="AD193" s="113">
        <f t="shared" si="202"/>
        <v>0</v>
      </c>
      <c r="AE193" s="111">
        <f t="shared" si="290"/>
        <v>0</v>
      </c>
      <c r="AF193" s="113">
        <f t="shared" si="203"/>
        <v>0</v>
      </c>
      <c r="AG193" s="113">
        <f t="shared" si="204"/>
        <v>0</v>
      </c>
      <c r="AH193" s="114">
        <f t="shared" si="241"/>
        <v>9.5391666666666666</v>
      </c>
      <c r="AI193" s="102" t="str">
        <f t="shared" si="205"/>
        <v>X:8</v>
      </c>
      <c r="AJ193" s="102" t="str">
        <f t="shared" si="206"/>
        <v>NV11843788</v>
      </c>
      <c r="AK193" s="102" t="str">
        <f>IF(OR(J193&lt;D193,J193&gt;F193),"",
IFERROR(INDEX('3. Đơn xin nghỉ'!$K:$K,MATCH('4. Tổng hợp dữ liệu'!AJ193,'3. Đơn xin nghỉ'!$I:$I,0),1),
IF(AND(AU193="Không CC",I193&lt;&gt;1),"Ro:8","")))</f>
        <v/>
      </c>
      <c r="AL193" s="102" t="str">
        <f t="shared" si="207"/>
        <v/>
      </c>
      <c r="AM193" s="102" t="str">
        <f t="shared" si="291"/>
        <v>X:8</v>
      </c>
      <c r="AN193" s="102" t="s">
        <v>92</v>
      </c>
      <c r="AO193" s="102"/>
      <c r="AP193" s="115">
        <f>IFERROR(VLOOKUP(AN193,'Quy đổi công'!A:D,3,0),0)</f>
        <v>1</v>
      </c>
      <c r="AQ193" s="115">
        <f>IFERROR(VLOOKUP(AN193,'Quy đổi công'!A:D,4,0),0)</f>
        <v>0</v>
      </c>
      <c r="AR193" s="115">
        <f t="shared" si="208"/>
        <v>0</v>
      </c>
      <c r="AS193" s="115">
        <f t="shared" si="292"/>
        <v>1</v>
      </c>
      <c r="AT193" s="115">
        <f t="shared" si="293"/>
        <v>0</v>
      </c>
      <c r="AU193" s="102" t="str">
        <f t="shared" si="209"/>
        <v/>
      </c>
      <c r="AV193" s="102" t="str">
        <f t="shared" si="210"/>
        <v/>
      </c>
      <c r="AW193" s="102" t="str">
        <f t="shared" si="211"/>
        <v/>
      </c>
      <c r="AX193" s="102" t="str">
        <f t="shared" si="212"/>
        <v/>
      </c>
      <c r="AY193" s="102" t="str">
        <f t="shared" si="213"/>
        <v/>
      </c>
      <c r="AZ193" s="102"/>
      <c r="BA193" s="102">
        <f>IF(AV193&lt;&gt;0,COUNTIFS($A$7:A193,A193,$AV$7:AV193,"Quên check in"))
+IF(AW193&lt;&gt;0,COUNTIFS($A$7:A193,A193,$AW$7:AW193,"Quên check in"))
+IF(AX193&lt;&gt;0,COUNTIFS($A$7:A193,A193,$AX$7:AX193,"Quên check out"))
+IF(AY193&lt;&gt;0,COUNTIFS($A$7:A193,A193,$AY$7:AY193,"Quên check out"))</f>
        <v>0</v>
      </c>
      <c r="BB193" s="143">
        <f t="shared" si="214"/>
        <v>0</v>
      </c>
    </row>
    <row r="194" spans="1:54" s="83" customFormat="1" ht="14.1" customHeight="1" x14ac:dyDescent="0.3">
      <c r="A194" s="103" t="s">
        <v>11</v>
      </c>
      <c r="B194" s="104" t="s">
        <v>20</v>
      </c>
      <c r="C194" s="105">
        <v>4700000</v>
      </c>
      <c r="D194" s="106">
        <v>43467</v>
      </c>
      <c r="E194" s="107">
        <v>43617</v>
      </c>
      <c r="F194" s="107">
        <v>73415</v>
      </c>
      <c r="G194" s="105">
        <v>26</v>
      </c>
      <c r="H194" s="105">
        <f t="shared" si="281"/>
        <v>3</v>
      </c>
      <c r="I194" s="105"/>
      <c r="J194" s="108">
        <v>43788</v>
      </c>
      <c r="K194" s="108" t="str">
        <f t="shared" si="282"/>
        <v>NV12243788VàoSáng</v>
      </c>
      <c r="L194" s="102" t="str">
        <f>IFERROR(VLOOKUP(K194,'1. Vân tay'!$F:$G,2,0),0)</f>
        <v>08:07:55</v>
      </c>
      <c r="M194" s="108" t="str">
        <f t="shared" si="283"/>
        <v>NV12243788RaSáng</v>
      </c>
      <c r="N194" s="102">
        <f>IFERROR(VLOOKUP(M194,'1. Vân tay'!$F:$G,2,0),0)</f>
        <v>0</v>
      </c>
      <c r="O194" s="108" t="str">
        <f t="shared" si="284"/>
        <v>NV12243788VàoChiều</v>
      </c>
      <c r="P194" s="102">
        <f>IFERROR(VLOOKUP(O194,'1. Vân tay'!$F:$G,2,0),0)</f>
        <v>0</v>
      </c>
      <c r="Q194" s="108" t="str">
        <f t="shared" si="285"/>
        <v>NV12243788RaChiều</v>
      </c>
      <c r="R194" s="102" t="str">
        <f>IFERROR(VLOOKUP(Q194,'1. Vân tay'!$F:$G,2,0),0)</f>
        <v>17:34:24</v>
      </c>
      <c r="S194" s="102">
        <f t="shared" si="286"/>
        <v>0</v>
      </c>
      <c r="T194" s="109">
        <v>0.33333333333333331</v>
      </c>
      <c r="U194" s="109">
        <v>0.5</v>
      </c>
      <c r="V194" s="109">
        <v>0.5625</v>
      </c>
      <c r="W194" s="109">
        <v>0.72916666666666663</v>
      </c>
      <c r="X194" s="102">
        <f>HDSD!$F$4</f>
        <v>5</v>
      </c>
      <c r="Y194" s="102">
        <f>SUMIFS('2. Đi muộn về sớm'!$K:$K,
'2. Đi muộn về sớm'!$B:$B,$A194,
'2. Đi muộn về sớm'!$D:$D,$J194)</f>
        <v>0</v>
      </c>
      <c r="Z194" s="110">
        <f t="shared" si="287"/>
        <v>7.916666666666667</v>
      </c>
      <c r="AA194" s="110">
        <f t="shared" si="288"/>
        <v>0</v>
      </c>
      <c r="AB194" s="111">
        <f t="shared" si="289"/>
        <v>7.916666666666667</v>
      </c>
      <c r="AC194" s="112">
        <f t="shared" si="201"/>
        <v>2.916666666666667</v>
      </c>
      <c r="AD194" s="113">
        <f t="shared" si="202"/>
        <v>5833.3333333333339</v>
      </c>
      <c r="AE194" s="111">
        <f t="shared" si="290"/>
        <v>0</v>
      </c>
      <c r="AF194" s="113">
        <f t="shared" si="203"/>
        <v>0</v>
      </c>
      <c r="AG194" s="113">
        <f t="shared" si="204"/>
        <v>5833.3333333333339</v>
      </c>
      <c r="AH194" s="114">
        <f t="shared" si="241"/>
        <v>9.4413888888888895</v>
      </c>
      <c r="AI194" s="102" t="str">
        <f t="shared" si="205"/>
        <v>X:8</v>
      </c>
      <c r="AJ194" s="102" t="str">
        <f t="shared" si="206"/>
        <v>NV12243788</v>
      </c>
      <c r="AK194" s="102" t="str">
        <f>IF(OR(J194&lt;D194,J194&gt;F194),"",
IFERROR(INDEX('3. Đơn xin nghỉ'!$K:$K,MATCH('4. Tổng hợp dữ liệu'!AJ194,'3. Đơn xin nghỉ'!$I:$I,0),1),
IF(AND(AU194="Không CC",I194&lt;&gt;1),"Ro:8","")))</f>
        <v/>
      </c>
      <c r="AL194" s="102" t="str">
        <f t="shared" si="207"/>
        <v/>
      </c>
      <c r="AM194" s="102" t="str">
        <f t="shared" si="291"/>
        <v>X:8</v>
      </c>
      <c r="AN194" s="102" t="s">
        <v>92</v>
      </c>
      <c r="AO194" s="102"/>
      <c r="AP194" s="115">
        <f>IFERROR(VLOOKUP(AN194,'Quy đổi công'!A:D,3,0),0)</f>
        <v>1</v>
      </c>
      <c r="AQ194" s="115">
        <f>IFERROR(VLOOKUP(AN194,'Quy đổi công'!A:D,4,0),0)</f>
        <v>0</v>
      </c>
      <c r="AR194" s="115">
        <f t="shared" si="208"/>
        <v>0</v>
      </c>
      <c r="AS194" s="115">
        <f t="shared" si="292"/>
        <v>1</v>
      </c>
      <c r="AT194" s="115">
        <f t="shared" si="293"/>
        <v>0</v>
      </c>
      <c r="AU194" s="102" t="str">
        <f t="shared" si="209"/>
        <v/>
      </c>
      <c r="AV194" s="102" t="str">
        <f t="shared" si="210"/>
        <v/>
      </c>
      <c r="AW194" s="102" t="str">
        <f t="shared" si="211"/>
        <v/>
      </c>
      <c r="AX194" s="102" t="str">
        <f t="shared" si="212"/>
        <v/>
      </c>
      <c r="AY194" s="102" t="str">
        <f t="shared" si="213"/>
        <v/>
      </c>
      <c r="AZ194" s="102"/>
      <c r="BA194" s="102">
        <f>IF(AV194&lt;&gt;0,COUNTIFS($A$7:A194,A194,$AV$7:AV194,"Quên check in"))
+IF(AW194&lt;&gt;0,COUNTIFS($A$7:A194,A194,$AW$7:AW194,"Quên check in"))
+IF(AX194&lt;&gt;0,COUNTIFS($A$7:A194,A194,$AX$7:AX194,"Quên check out"))
+IF(AY194&lt;&gt;0,COUNTIFS($A$7:A194,A194,$AY$7:AY194,"Quên check out"))</f>
        <v>1</v>
      </c>
      <c r="BB194" s="143">
        <f t="shared" si="214"/>
        <v>0</v>
      </c>
    </row>
    <row r="195" spans="1:54" s="83" customFormat="1" ht="14.1" customHeight="1" x14ac:dyDescent="0.3">
      <c r="A195" s="103" t="s">
        <v>12</v>
      </c>
      <c r="B195" s="104" t="s">
        <v>21</v>
      </c>
      <c r="C195" s="105">
        <v>5000000</v>
      </c>
      <c r="D195" s="106">
        <v>43482</v>
      </c>
      <c r="E195" s="107">
        <v>43647</v>
      </c>
      <c r="F195" s="107">
        <v>73415</v>
      </c>
      <c r="G195" s="105">
        <v>26</v>
      </c>
      <c r="H195" s="105">
        <f t="shared" si="281"/>
        <v>3</v>
      </c>
      <c r="I195" s="105"/>
      <c r="J195" s="108">
        <v>43788</v>
      </c>
      <c r="K195" s="108" t="str">
        <f t="shared" si="282"/>
        <v>NV12343788VàoSáng</v>
      </c>
      <c r="L195" s="102" t="str">
        <f>IFERROR(VLOOKUP(K195,'1. Vân tay'!$F:$G,2,0),0)</f>
        <v>07:48:30</v>
      </c>
      <c r="M195" s="108" t="str">
        <f t="shared" si="283"/>
        <v>NV12343788RaSáng</v>
      </c>
      <c r="N195" s="102">
        <f>IFERROR(VLOOKUP(M195,'1. Vân tay'!$F:$G,2,0),0)</f>
        <v>0</v>
      </c>
      <c r="O195" s="108" t="str">
        <f t="shared" si="284"/>
        <v>NV12343788VàoChiều</v>
      </c>
      <c r="P195" s="102">
        <f>IFERROR(VLOOKUP(O195,'1. Vân tay'!$F:$G,2,0),0)</f>
        <v>0</v>
      </c>
      <c r="Q195" s="108" t="str">
        <f t="shared" si="285"/>
        <v>NV12343788RaChiều</v>
      </c>
      <c r="R195" s="102" t="str">
        <f>IFERROR(VLOOKUP(Q195,'1. Vân tay'!$F:$G,2,0),0)</f>
        <v>17:31:41</v>
      </c>
      <c r="S195" s="102">
        <f t="shared" si="286"/>
        <v>0</v>
      </c>
      <c r="T195" s="109">
        <v>0.33333333333333331</v>
      </c>
      <c r="U195" s="109">
        <v>0.5</v>
      </c>
      <c r="V195" s="109">
        <v>0.5625</v>
      </c>
      <c r="W195" s="109">
        <v>0.72916666666666663</v>
      </c>
      <c r="X195" s="102">
        <f>HDSD!$F$4</f>
        <v>5</v>
      </c>
      <c r="Y195" s="102">
        <f>SUMIFS('2. Đi muộn về sớm'!$K:$K,
'2. Đi muộn về sớm'!$B:$B,$A195,
'2. Đi muộn về sớm'!$D:$D,$J195)</f>
        <v>0</v>
      </c>
      <c r="Z195" s="110">
        <f t="shared" si="287"/>
        <v>0</v>
      </c>
      <c r="AA195" s="110">
        <f t="shared" si="288"/>
        <v>0</v>
      </c>
      <c r="AB195" s="111">
        <f t="shared" si="289"/>
        <v>0</v>
      </c>
      <c r="AC195" s="112">
        <f t="shared" si="201"/>
        <v>0</v>
      </c>
      <c r="AD195" s="113">
        <f t="shared" si="202"/>
        <v>0</v>
      </c>
      <c r="AE195" s="111">
        <f t="shared" si="290"/>
        <v>0</v>
      </c>
      <c r="AF195" s="113">
        <f t="shared" si="203"/>
        <v>0</v>
      </c>
      <c r="AG195" s="113">
        <f t="shared" si="204"/>
        <v>0</v>
      </c>
      <c r="AH195" s="114">
        <f t="shared" si="241"/>
        <v>9.7197222222222219</v>
      </c>
      <c r="AI195" s="102" t="str">
        <f t="shared" si="205"/>
        <v>X:8</v>
      </c>
      <c r="AJ195" s="102" t="str">
        <f t="shared" si="206"/>
        <v>NV12343788</v>
      </c>
      <c r="AK195" s="102" t="str">
        <f>IF(OR(J195&lt;D195,J195&gt;F195),"",
IFERROR(INDEX('3. Đơn xin nghỉ'!$K:$K,MATCH('4. Tổng hợp dữ liệu'!AJ195,'3. Đơn xin nghỉ'!$I:$I,0),1),
IF(AND(AU195="Không CC",I195&lt;&gt;1),"Ro:8","")))</f>
        <v/>
      </c>
      <c r="AL195" s="102" t="str">
        <f t="shared" si="207"/>
        <v/>
      </c>
      <c r="AM195" s="102" t="str">
        <f t="shared" si="291"/>
        <v>X:8</v>
      </c>
      <c r="AN195" s="102" t="s">
        <v>92</v>
      </c>
      <c r="AO195" s="102"/>
      <c r="AP195" s="115">
        <f>IFERROR(VLOOKUP(AN195,'Quy đổi công'!A:D,3,0),0)</f>
        <v>1</v>
      </c>
      <c r="AQ195" s="115">
        <f>IFERROR(VLOOKUP(AN195,'Quy đổi công'!A:D,4,0),0)</f>
        <v>0</v>
      </c>
      <c r="AR195" s="115">
        <f t="shared" si="208"/>
        <v>0</v>
      </c>
      <c r="AS195" s="115">
        <f t="shared" si="292"/>
        <v>1</v>
      </c>
      <c r="AT195" s="115">
        <f t="shared" si="293"/>
        <v>0</v>
      </c>
      <c r="AU195" s="102" t="str">
        <f t="shared" si="209"/>
        <v/>
      </c>
      <c r="AV195" s="102" t="str">
        <f t="shared" si="210"/>
        <v/>
      </c>
      <c r="AW195" s="102" t="str">
        <f t="shared" si="211"/>
        <v/>
      </c>
      <c r="AX195" s="102" t="str">
        <f t="shared" si="212"/>
        <v/>
      </c>
      <c r="AY195" s="102" t="str">
        <f t="shared" si="213"/>
        <v/>
      </c>
      <c r="AZ195" s="102"/>
      <c r="BA195" s="102">
        <f>IF(AV195&lt;&gt;0,COUNTIFS($A$7:A195,A195,$AV$7:AV195,"Quên check in"))
+IF(AW195&lt;&gt;0,COUNTIFS($A$7:A195,A195,$AW$7:AW195,"Quên check in"))
+IF(AX195&lt;&gt;0,COUNTIFS($A$7:A195,A195,$AX$7:AX195,"Quên check out"))
+IF(AY195&lt;&gt;0,COUNTIFS($A$7:A195,A195,$AY$7:AY195,"Quên check out"))</f>
        <v>1</v>
      </c>
      <c r="BB195" s="143">
        <f t="shared" si="214"/>
        <v>0</v>
      </c>
    </row>
    <row r="196" spans="1:54" s="83" customFormat="1" ht="14.1" customHeight="1" x14ac:dyDescent="0.3">
      <c r="A196" s="103" t="s">
        <v>13</v>
      </c>
      <c r="B196" s="104" t="s">
        <v>22</v>
      </c>
      <c r="C196" s="105">
        <v>4700000</v>
      </c>
      <c r="D196" s="106">
        <v>43531</v>
      </c>
      <c r="E196" s="107">
        <v>43647</v>
      </c>
      <c r="F196" s="107">
        <v>73415</v>
      </c>
      <c r="G196" s="105">
        <v>26</v>
      </c>
      <c r="H196" s="105">
        <f t="shared" si="281"/>
        <v>3</v>
      </c>
      <c r="I196" s="105"/>
      <c r="J196" s="108">
        <v>43788</v>
      </c>
      <c r="K196" s="108" t="str">
        <f t="shared" si="282"/>
        <v>NV12643788VàoSáng</v>
      </c>
      <c r="L196" s="102" t="str">
        <f>IFERROR(VLOOKUP(K196,'1. Vân tay'!$F:$G,2,0),0)</f>
        <v>08:01:42</v>
      </c>
      <c r="M196" s="108" t="str">
        <f t="shared" si="283"/>
        <v>NV12643788RaSáng</v>
      </c>
      <c r="N196" s="102">
        <f>IFERROR(VLOOKUP(M196,'1. Vân tay'!$F:$G,2,0),0)</f>
        <v>0</v>
      </c>
      <c r="O196" s="108" t="str">
        <f t="shared" si="284"/>
        <v>NV12643788VàoChiều</v>
      </c>
      <c r="P196" s="102">
        <f>IFERROR(VLOOKUP(O196,'1. Vân tay'!$F:$G,2,0),0)</f>
        <v>0</v>
      </c>
      <c r="Q196" s="108" t="str">
        <f t="shared" si="285"/>
        <v>NV12643788RaChiều</v>
      </c>
      <c r="R196" s="102" t="str">
        <f>IFERROR(VLOOKUP(Q196,'1. Vân tay'!$F:$G,2,0),0)</f>
        <v>17:37:05</v>
      </c>
      <c r="S196" s="102">
        <f t="shared" si="286"/>
        <v>0</v>
      </c>
      <c r="T196" s="109">
        <v>0.33333333333333331</v>
      </c>
      <c r="U196" s="109">
        <v>0.5</v>
      </c>
      <c r="V196" s="109">
        <v>0.5625</v>
      </c>
      <c r="W196" s="109">
        <v>0.72916666666666663</v>
      </c>
      <c r="X196" s="102">
        <f>HDSD!$F$4</f>
        <v>5</v>
      </c>
      <c r="Y196" s="102">
        <f>SUMIFS('2. Đi muộn về sớm'!$K:$K,
'2. Đi muộn về sớm'!$B:$B,$A196,
'2. Đi muộn về sớm'!$D:$D,$J196)</f>
        <v>0</v>
      </c>
      <c r="Z196" s="110">
        <f t="shared" si="287"/>
        <v>1.7</v>
      </c>
      <c r="AA196" s="110">
        <f t="shared" si="288"/>
        <v>0</v>
      </c>
      <c r="AB196" s="111">
        <f t="shared" si="289"/>
        <v>1.7</v>
      </c>
      <c r="AC196" s="112">
        <f t="shared" si="201"/>
        <v>0</v>
      </c>
      <c r="AD196" s="113">
        <f t="shared" si="202"/>
        <v>0</v>
      </c>
      <c r="AE196" s="111">
        <f t="shared" si="290"/>
        <v>0</v>
      </c>
      <c r="AF196" s="113">
        <f t="shared" si="203"/>
        <v>0</v>
      </c>
      <c r="AG196" s="113">
        <f t="shared" si="204"/>
        <v>0</v>
      </c>
      <c r="AH196" s="114">
        <f t="shared" si="241"/>
        <v>9.5897222222222229</v>
      </c>
      <c r="AI196" s="102" t="str">
        <f t="shared" si="205"/>
        <v>X:8</v>
      </c>
      <c r="AJ196" s="102" t="str">
        <f t="shared" si="206"/>
        <v>NV12643788</v>
      </c>
      <c r="AK196" s="102" t="str">
        <f>IF(OR(J196&lt;D196,J196&gt;F196),"",
IFERROR(INDEX('3. Đơn xin nghỉ'!$K:$K,MATCH('4. Tổng hợp dữ liệu'!AJ196,'3. Đơn xin nghỉ'!$I:$I,0),1),
IF(AND(AU196="Không CC",I196&lt;&gt;1),"Ro:8","")))</f>
        <v/>
      </c>
      <c r="AL196" s="102" t="str">
        <f t="shared" si="207"/>
        <v/>
      </c>
      <c r="AM196" s="102" t="str">
        <f t="shared" si="291"/>
        <v>X:8</v>
      </c>
      <c r="AN196" s="102" t="s">
        <v>92</v>
      </c>
      <c r="AO196" s="102"/>
      <c r="AP196" s="115">
        <f>IFERROR(VLOOKUP(AN196,'Quy đổi công'!A:D,3,0),0)</f>
        <v>1</v>
      </c>
      <c r="AQ196" s="115">
        <f>IFERROR(VLOOKUP(AN196,'Quy đổi công'!A:D,4,0),0)</f>
        <v>0</v>
      </c>
      <c r="AR196" s="115">
        <f t="shared" si="208"/>
        <v>0</v>
      </c>
      <c r="AS196" s="115">
        <f t="shared" si="292"/>
        <v>1</v>
      </c>
      <c r="AT196" s="115">
        <f t="shared" si="293"/>
        <v>0</v>
      </c>
      <c r="AU196" s="102" t="str">
        <f t="shared" si="209"/>
        <v/>
      </c>
      <c r="AV196" s="102" t="str">
        <f t="shared" si="210"/>
        <v/>
      </c>
      <c r="AW196" s="102" t="str">
        <f t="shared" si="211"/>
        <v/>
      </c>
      <c r="AX196" s="102" t="str">
        <f t="shared" si="212"/>
        <v/>
      </c>
      <c r="AY196" s="102" t="str">
        <f t="shared" si="213"/>
        <v/>
      </c>
      <c r="AZ196" s="102"/>
      <c r="BA196" s="102">
        <f>IF(AV196&lt;&gt;0,COUNTIFS($A$7:A196,A196,$AV$7:AV196,"Quên check in"))
+IF(AW196&lt;&gt;0,COUNTIFS($A$7:A196,A196,$AW$7:AW196,"Quên check in"))
+IF(AX196&lt;&gt;0,COUNTIFS($A$7:A196,A196,$AX$7:AX196,"Quên check out"))
+IF(AY196&lt;&gt;0,COUNTIFS($A$7:A196,A196,$AY$7:AY196,"Quên check out"))</f>
        <v>0</v>
      </c>
      <c r="BB196" s="143">
        <f t="shared" si="214"/>
        <v>0</v>
      </c>
    </row>
    <row r="197" spans="1:54" s="83" customFormat="1" ht="14.1" customHeight="1" x14ac:dyDescent="0.3">
      <c r="A197" s="103" t="s">
        <v>4</v>
      </c>
      <c r="B197" s="104" t="s">
        <v>14</v>
      </c>
      <c r="C197" s="105">
        <v>4700000</v>
      </c>
      <c r="D197" s="106">
        <v>43388</v>
      </c>
      <c r="E197" s="107">
        <v>43525</v>
      </c>
      <c r="F197" s="107">
        <v>73415</v>
      </c>
      <c r="G197" s="105">
        <v>26</v>
      </c>
      <c r="H197" s="105">
        <f t="shared" ref="H197:H204" si="294">WEEKDAY(J197,1)</f>
        <v>4</v>
      </c>
      <c r="I197" s="105"/>
      <c r="J197" s="108">
        <v>43789</v>
      </c>
      <c r="K197" s="108" t="str">
        <f t="shared" ref="K197:K203" si="295">$A197&amp;$J197&amp;"Vào"&amp;"Sáng"</f>
        <v>NV10143789VàoSáng</v>
      </c>
      <c r="L197" s="102" t="str">
        <f>IFERROR(VLOOKUP(K197,'1. Vân tay'!$F:$G,2,0),0)</f>
        <v>08:14:22</v>
      </c>
      <c r="M197" s="108" t="str">
        <f t="shared" ref="M197:M203" si="296">$A197&amp;$J197&amp;"Ra"&amp;"Sáng"</f>
        <v>NV10143789RaSáng</v>
      </c>
      <c r="N197" s="102">
        <f>IFERROR(VLOOKUP(M197,'1. Vân tay'!$F:$G,2,0),0)</f>
        <v>0</v>
      </c>
      <c r="O197" s="108" t="str">
        <f t="shared" ref="O197:O203" si="297">$A197&amp;$J197&amp;"Vào"&amp;"Chiều"</f>
        <v>NV10143789VàoChiều</v>
      </c>
      <c r="P197" s="102">
        <f>IFERROR(VLOOKUP(O197,'1. Vân tay'!$F:$G,2,0),0)</f>
        <v>0</v>
      </c>
      <c r="Q197" s="108" t="str">
        <f t="shared" ref="Q197:Q203" si="298">$A197&amp;$J197&amp;"Ra"&amp;"Chiều"</f>
        <v>NV10143789RaChiều</v>
      </c>
      <c r="R197" s="102" t="str">
        <f>IFERROR(VLOOKUP(Q197,'1. Vân tay'!$F:$G,2,0),0)</f>
        <v>17:31:37</v>
      </c>
      <c r="S197" s="102">
        <f t="shared" ref="S197:S204" si="299">IF(OR(
(AND(L197&lt;&gt;0,P197&lt;&gt;0)),
(AND(N197&lt;&gt;0,R197&lt;&gt;0))),"Kiểm tra",0)</f>
        <v>0</v>
      </c>
      <c r="T197" s="109">
        <v>0.33333333333333331</v>
      </c>
      <c r="U197" s="109">
        <v>0.5</v>
      </c>
      <c r="V197" s="109">
        <v>0.5625</v>
      </c>
      <c r="W197" s="109">
        <v>0.72916666666666663</v>
      </c>
      <c r="X197" s="102">
        <f>HDSD!$F$4</f>
        <v>5</v>
      </c>
      <c r="Y197" s="102">
        <f>SUMIFS('2. Đi muộn về sớm'!$K:$K,
'2. Đi muộn về sớm'!$B:$B,$A197,
'2. Đi muộn về sớm'!$D:$D,$J197)</f>
        <v>0</v>
      </c>
      <c r="Z197" s="110">
        <f t="shared" ref="Z197:Z203" si="300">IF(L197=0,0,IFERROR((HOUR(L197-T197)*60+MINUTE(L197-T197)+SECOND(L197-T197)/60),0))
+IF(N197=0,0, IFERROR((HOUR(U197-N197)*60+MINUTE(U197-N197)+SECOND(U197-N197)/60),0))
+IF(P197=0,0, IFERROR((HOUR(P197-V197)*60+MINUTE(P197-V197)+SECOND(P197-V197)/60),0))
+IF(R197=0,0, IFERROR((HOUR(W197-R197)*60+MINUTE(W197-R197)+SECOND(W197-R197)/60),0))</f>
        <v>14.366666666666667</v>
      </c>
      <c r="AA197" s="110">
        <f t="shared" ref="AA197:AA203" si="301">IF(L197=0,0,IFERROR((HOUR(L197-"09:00:00")*60+MINUTE(L197-"09:00:00")+SECOND(L197-"09:00:00")/60),0))
+IF(N197=0,0, IFERROR((HOUR(U197-N197)*60+MINUTE(U197-N197)+SECOND(U197-N197)/60),0))
+IF(P197=0,0, IFERROR((HOUR(P197-V197)*60+MINUTE(P197-V197)+SECOND(P197-V197)/60),0))
+IF(R197=0,0, IFERROR((HOUR("16:30:00"-R197)*60+MINUTE("16:30:00"-R197)+SECOND("16:30:00"-R197)/60),0))</f>
        <v>0</v>
      </c>
      <c r="AB197" s="111">
        <f t="shared" ref="AB197:AB203" si="302">Z197-AA197</f>
        <v>14.366666666666667</v>
      </c>
      <c r="AC197" s="112">
        <f t="shared" si="201"/>
        <v>9.3666666666666671</v>
      </c>
      <c r="AD197" s="113">
        <f t="shared" si="202"/>
        <v>18733.333333333336</v>
      </c>
      <c r="AE197" s="111">
        <f t="shared" ref="AE197:AE203" si="303">AA197/60/8</f>
        <v>0</v>
      </c>
      <c r="AF197" s="113">
        <f t="shared" si="203"/>
        <v>0</v>
      </c>
      <c r="AG197" s="113">
        <f t="shared" si="204"/>
        <v>18733.333333333336</v>
      </c>
      <c r="AH197" s="114">
        <f t="shared" si="241"/>
        <v>9.2874999999999996</v>
      </c>
      <c r="AI197" s="102" t="str">
        <f t="shared" si="205"/>
        <v>X:8</v>
      </c>
      <c r="AJ197" s="102" t="str">
        <f t="shared" si="206"/>
        <v>NV10143789</v>
      </c>
      <c r="AK197" s="102" t="str">
        <f>IF(OR(J197&lt;D197,J197&gt;F197),"",
IFERROR(INDEX('3. Đơn xin nghỉ'!$K:$K,MATCH('4. Tổng hợp dữ liệu'!AJ197,'3. Đơn xin nghỉ'!$I:$I,0),1),
IF(AND(AU197="Không CC",I197&lt;&gt;1),"Ro:8","")))</f>
        <v/>
      </c>
      <c r="AL197" s="102" t="str">
        <f t="shared" si="207"/>
        <v/>
      </c>
      <c r="AM197" s="102" t="str">
        <f t="shared" ref="AM197:AM204" si="304">IF(OR(AI197="",AK197=""),AI197&amp;AK197,AI197&amp;","&amp;AK197)&amp;AL197</f>
        <v>X:8</v>
      </c>
      <c r="AN197" s="102" t="s">
        <v>92</v>
      </c>
      <c r="AO197" s="102"/>
      <c r="AP197" s="115">
        <f>IFERROR(VLOOKUP(AN197,'Quy đổi công'!A:D,3,0),0)</f>
        <v>1</v>
      </c>
      <c r="AQ197" s="115">
        <f>IFERROR(VLOOKUP(AN197,'Quy đổi công'!A:D,4,0),0)</f>
        <v>0</v>
      </c>
      <c r="AR197" s="115">
        <f t="shared" si="208"/>
        <v>0</v>
      </c>
      <c r="AS197" s="115">
        <f t="shared" ref="AS197:AS204" si="305">AP197-AR197</f>
        <v>1</v>
      </c>
      <c r="AT197" s="115">
        <f t="shared" ref="AT197:AT203" si="306">IF(AN197="P8",1)
+IF(OR(AN197="X:4,P:4",AN197="P:4,Rv:4",AN197="P:4,Ro:4"),1/2)</f>
        <v>0</v>
      </c>
      <c r="AU197" s="102" t="str">
        <f t="shared" si="209"/>
        <v/>
      </c>
      <c r="AV197" s="102" t="str">
        <f t="shared" si="210"/>
        <v/>
      </c>
      <c r="AW197" s="102" t="str">
        <f t="shared" si="211"/>
        <v/>
      </c>
      <c r="AX197" s="102" t="str">
        <f t="shared" si="212"/>
        <v/>
      </c>
      <c r="AY197" s="102" t="str">
        <f t="shared" si="213"/>
        <v/>
      </c>
      <c r="AZ197" s="102"/>
      <c r="BA197" s="102">
        <f>IF(AV197&lt;&gt;0,COUNTIFS($A$7:A197,A197,$AV$7:AV197,"Quên check in"))
+IF(AW197&lt;&gt;0,COUNTIFS($A$7:A197,A197,$AW$7:AW197,"Quên check in"))
+IF(AX197&lt;&gt;0,COUNTIFS($A$7:A197,A197,$AX$7:AX197,"Quên check out"))
+IF(AY197&lt;&gt;0,COUNTIFS($A$7:A197,A197,$AY$7:AY197,"Quên check out"))</f>
        <v>0</v>
      </c>
      <c r="BB197" s="143">
        <f t="shared" si="214"/>
        <v>0</v>
      </c>
    </row>
    <row r="198" spans="1:54" s="83" customFormat="1" ht="14.1" customHeight="1" x14ac:dyDescent="0.3">
      <c r="A198" s="103" t="s">
        <v>5</v>
      </c>
      <c r="B198" s="104" t="s">
        <v>28</v>
      </c>
      <c r="C198" s="105">
        <v>10000000</v>
      </c>
      <c r="D198" s="106">
        <v>43409</v>
      </c>
      <c r="E198" s="107">
        <v>43678</v>
      </c>
      <c r="F198" s="107">
        <v>73415</v>
      </c>
      <c r="G198" s="105">
        <v>26</v>
      </c>
      <c r="H198" s="105">
        <f t="shared" si="294"/>
        <v>4</v>
      </c>
      <c r="I198" s="105"/>
      <c r="J198" s="108">
        <v>43789</v>
      </c>
      <c r="K198" s="108" t="str">
        <f t="shared" si="295"/>
        <v>NV10743789VàoSáng</v>
      </c>
      <c r="L198" s="102" t="str">
        <f>IFERROR(VLOOKUP(K198,'1. Vân tay'!$F:$G,2,0),0)</f>
        <v>08:10:20</v>
      </c>
      <c r="M198" s="108" t="str">
        <f t="shared" si="296"/>
        <v>NV10743789RaSáng</v>
      </c>
      <c r="N198" s="102">
        <f>IFERROR(VLOOKUP(M198,'1. Vân tay'!$F:$G,2,0),0)</f>
        <v>0</v>
      </c>
      <c r="O198" s="108" t="str">
        <f t="shared" si="297"/>
        <v>NV10743789VàoChiều</v>
      </c>
      <c r="P198" s="102">
        <f>IFERROR(VLOOKUP(O198,'1. Vân tay'!$F:$G,2,0),0)</f>
        <v>0</v>
      </c>
      <c r="Q198" s="108" t="str">
        <f t="shared" si="298"/>
        <v>NV10743789RaChiều</v>
      </c>
      <c r="R198" s="102" t="str">
        <f>IFERROR(VLOOKUP(Q198,'1. Vân tay'!$F:$G,2,0),0)</f>
        <v>17:08:09</v>
      </c>
      <c r="S198" s="102">
        <f t="shared" si="299"/>
        <v>0</v>
      </c>
      <c r="T198" s="109">
        <v>0.33333333333333331</v>
      </c>
      <c r="U198" s="109">
        <v>0.5</v>
      </c>
      <c r="V198" s="109">
        <v>0.5625</v>
      </c>
      <c r="W198" s="109">
        <v>0.72916666666666663</v>
      </c>
      <c r="X198" s="102">
        <f>HDSD!$F$4</f>
        <v>5</v>
      </c>
      <c r="Y198" s="102">
        <f>SUMIFS('2. Đi muộn về sớm'!$K:$K,
'2. Đi muộn về sớm'!$B:$B,$A198,
'2. Đi muộn về sớm'!$D:$D,$J198)</f>
        <v>0</v>
      </c>
      <c r="Z198" s="110">
        <f t="shared" si="300"/>
        <v>32.183333333333337</v>
      </c>
      <c r="AA198" s="110">
        <f t="shared" si="301"/>
        <v>0</v>
      </c>
      <c r="AB198" s="111">
        <f t="shared" si="302"/>
        <v>32.183333333333337</v>
      </c>
      <c r="AC198" s="112">
        <f t="shared" si="201"/>
        <v>27.183333333333337</v>
      </c>
      <c r="AD198" s="113">
        <f t="shared" si="202"/>
        <v>54366.666666666672</v>
      </c>
      <c r="AE198" s="111">
        <f t="shared" si="303"/>
        <v>0</v>
      </c>
      <c r="AF198" s="113">
        <f t="shared" si="203"/>
        <v>0</v>
      </c>
      <c r="AG198" s="113">
        <f t="shared" si="204"/>
        <v>54366.666666666672</v>
      </c>
      <c r="AH198" s="114">
        <f t="shared" si="241"/>
        <v>8.9636111111111099</v>
      </c>
      <c r="AI198" s="102" t="str">
        <f t="shared" si="205"/>
        <v>X:8</v>
      </c>
      <c r="AJ198" s="102" t="str">
        <f t="shared" si="206"/>
        <v>NV10743789</v>
      </c>
      <c r="AK198" s="102" t="str">
        <f>IF(OR(J198&lt;D198,J198&gt;F198),"",
IFERROR(INDEX('3. Đơn xin nghỉ'!$K:$K,MATCH('4. Tổng hợp dữ liệu'!AJ198,'3. Đơn xin nghỉ'!$I:$I,0),1),
IF(AND(AU198="Không CC",I198&lt;&gt;1),"Ro:8","")))</f>
        <v/>
      </c>
      <c r="AL198" s="102" t="str">
        <f t="shared" si="207"/>
        <v/>
      </c>
      <c r="AM198" s="102" t="str">
        <f t="shared" si="304"/>
        <v>X:8</v>
      </c>
      <c r="AN198" s="102" t="s">
        <v>92</v>
      </c>
      <c r="AO198" s="102"/>
      <c r="AP198" s="115">
        <f>IFERROR(VLOOKUP(AN198,'Quy đổi công'!A:D,3,0),0)</f>
        <v>1</v>
      </c>
      <c r="AQ198" s="115">
        <f>IFERROR(VLOOKUP(AN198,'Quy đổi công'!A:D,4,0),0)</f>
        <v>0</v>
      </c>
      <c r="AR198" s="115">
        <f t="shared" si="208"/>
        <v>0</v>
      </c>
      <c r="AS198" s="115">
        <f t="shared" si="305"/>
        <v>1</v>
      </c>
      <c r="AT198" s="115">
        <f t="shared" si="306"/>
        <v>0</v>
      </c>
      <c r="AU198" s="102" t="str">
        <f t="shared" si="209"/>
        <v/>
      </c>
      <c r="AV198" s="102" t="str">
        <f t="shared" si="210"/>
        <v/>
      </c>
      <c r="AW198" s="102" t="str">
        <f t="shared" si="211"/>
        <v/>
      </c>
      <c r="AX198" s="102" t="str">
        <f t="shared" si="212"/>
        <v/>
      </c>
      <c r="AY198" s="102" t="str">
        <f t="shared" si="213"/>
        <v/>
      </c>
      <c r="AZ198" s="102"/>
      <c r="BA198" s="102">
        <f>IF(AV198&lt;&gt;0,COUNTIFS($A$7:A198,A198,$AV$7:AV198,"Quên check in"))
+IF(AW198&lt;&gt;0,COUNTIFS($A$7:A198,A198,$AW$7:AW198,"Quên check in"))
+IF(AX198&lt;&gt;0,COUNTIFS($A$7:A198,A198,$AX$7:AX198,"Quên check out"))
+IF(AY198&lt;&gt;0,COUNTIFS($A$7:A198,A198,$AY$7:AY198,"Quên check out"))</f>
        <v>4</v>
      </c>
      <c r="BB198" s="143">
        <f t="shared" si="214"/>
        <v>50000</v>
      </c>
    </row>
    <row r="199" spans="1:54" s="83" customFormat="1" ht="14.1" customHeight="1" x14ac:dyDescent="0.3">
      <c r="A199" s="103" t="s">
        <v>6</v>
      </c>
      <c r="B199" s="104" t="s">
        <v>15</v>
      </c>
      <c r="C199" s="105">
        <v>4700000</v>
      </c>
      <c r="D199" s="106">
        <v>43409</v>
      </c>
      <c r="E199" s="107">
        <v>43617</v>
      </c>
      <c r="F199" s="107">
        <v>73415</v>
      </c>
      <c r="G199" s="105">
        <v>26</v>
      </c>
      <c r="H199" s="105">
        <f t="shared" si="294"/>
        <v>4</v>
      </c>
      <c r="I199" s="105"/>
      <c r="J199" s="108">
        <v>43789</v>
      </c>
      <c r="K199" s="108" t="str">
        <f t="shared" si="295"/>
        <v>NV10843789VàoSáng</v>
      </c>
      <c r="L199" s="102" t="str">
        <f>IFERROR(VLOOKUP(K199,'1. Vân tay'!$F:$G,2,0),0)</f>
        <v>08:13:57</v>
      </c>
      <c r="M199" s="108" t="str">
        <f t="shared" si="296"/>
        <v>NV10843789RaSáng</v>
      </c>
      <c r="N199" s="102">
        <f>IFERROR(VLOOKUP(M199,'1. Vân tay'!$F:$G,2,0),0)</f>
        <v>0</v>
      </c>
      <c r="O199" s="108" t="str">
        <f t="shared" si="297"/>
        <v>NV10843789VàoChiều</v>
      </c>
      <c r="P199" s="102">
        <f>IFERROR(VLOOKUP(O199,'1. Vân tay'!$F:$G,2,0),0)</f>
        <v>0</v>
      </c>
      <c r="Q199" s="108" t="str">
        <f t="shared" si="298"/>
        <v>NV10843789RaChiều</v>
      </c>
      <c r="R199" s="102" t="str">
        <f>IFERROR(VLOOKUP(Q199,'1. Vân tay'!$F:$G,2,0),0)</f>
        <v>17:34:11</v>
      </c>
      <c r="S199" s="102">
        <f t="shared" si="299"/>
        <v>0</v>
      </c>
      <c r="T199" s="109">
        <v>0.33333333333333331</v>
      </c>
      <c r="U199" s="109">
        <v>0.5</v>
      </c>
      <c r="V199" s="109">
        <v>0.5625</v>
      </c>
      <c r="W199" s="109">
        <v>0.72916666666666663</v>
      </c>
      <c r="X199" s="102">
        <f>HDSD!$F$4</f>
        <v>5</v>
      </c>
      <c r="Y199" s="102">
        <f>SUMIFS('2. Đi muộn về sớm'!$K:$K,
'2. Đi muộn về sớm'!$B:$B,$A199,
'2. Đi muộn về sớm'!$D:$D,$J199)</f>
        <v>0</v>
      </c>
      <c r="Z199" s="110">
        <f t="shared" si="300"/>
        <v>13.95</v>
      </c>
      <c r="AA199" s="110">
        <f t="shared" si="301"/>
        <v>0</v>
      </c>
      <c r="AB199" s="111">
        <f t="shared" si="302"/>
        <v>13.95</v>
      </c>
      <c r="AC199" s="112">
        <f t="shared" ref="AC199:AC262" si="307">IF(AB199-Y199-X199&lt;=0,0,AB199-Y199-X199)</f>
        <v>8.9499999999999993</v>
      </c>
      <c r="AD199" s="113">
        <f t="shared" ref="AD199:AD262" si="308">AC199*2000</f>
        <v>17900</v>
      </c>
      <c r="AE199" s="111">
        <f t="shared" si="303"/>
        <v>0</v>
      </c>
      <c r="AF199" s="113">
        <f t="shared" ref="AF199:AF262" si="309">IF(AE199="","",AE199*C199/G199)</f>
        <v>0</v>
      </c>
      <c r="AG199" s="113">
        <f t="shared" ref="AG199:AG262" si="310">AF199+AD199</f>
        <v>17900</v>
      </c>
      <c r="AH199" s="114">
        <f t="shared" si="241"/>
        <v>9.3372222222222234</v>
      </c>
      <c r="AI199" s="102" t="str">
        <f t="shared" ref="AI199:AI262" si="311">IF(OR(J199&lt;D199,J199&gt;F199),"",
IF(AND(AH199&gt;0,AH199&lt;=6),"X:4",
IF(AND(AH199&gt;6),"X:8","")))</f>
        <v>X:8</v>
      </c>
      <c r="AJ199" s="102" t="str">
        <f t="shared" ref="AJ199:AJ262" si="312">A199&amp;J199</f>
        <v>NV10843789</v>
      </c>
      <c r="AK199" s="102" t="str">
        <f>IF(OR(J199&lt;D199,J199&gt;F199),"",
IFERROR(INDEX('3. Đơn xin nghỉ'!$K:$K,MATCH('4. Tổng hợp dữ liệu'!AJ199,'3. Đơn xin nghỉ'!$I:$I,0),1),
IF(AND(AU199="Không CC",I199&lt;&gt;1),"Ro:8","")))</f>
        <v/>
      </c>
      <c r="AL199" s="102" t="str">
        <f t="shared" ref="AL199:AL262" si="313">IF(OR(J199&lt;D199,J199&gt;F199),"",
IF(I199=1,"OFF",""))</f>
        <v/>
      </c>
      <c r="AM199" s="102" t="str">
        <f t="shared" si="304"/>
        <v>X:8</v>
      </c>
      <c r="AN199" s="102" t="s">
        <v>92</v>
      </c>
      <c r="AO199" s="102"/>
      <c r="AP199" s="115">
        <f>IFERROR(VLOOKUP(AN199,'Quy đổi công'!A:D,3,0),0)</f>
        <v>1</v>
      </c>
      <c r="AQ199" s="115">
        <f>IFERROR(VLOOKUP(AN199,'Quy đổi công'!A:D,4,0),0)</f>
        <v>0</v>
      </c>
      <c r="AR199" s="115">
        <f t="shared" ref="AR199:AR262" si="314">IF(J199&lt;E199,AP199,0)</f>
        <v>0</v>
      </c>
      <c r="AS199" s="115">
        <f t="shared" si="305"/>
        <v>1</v>
      </c>
      <c r="AT199" s="115">
        <f t="shared" si="306"/>
        <v>0</v>
      </c>
      <c r="AU199" s="102" t="str">
        <f t="shared" si="209"/>
        <v/>
      </c>
      <c r="AV199" s="102" t="str">
        <f t="shared" si="210"/>
        <v/>
      </c>
      <c r="AW199" s="102" t="str">
        <f t="shared" si="211"/>
        <v/>
      </c>
      <c r="AX199" s="102" t="str">
        <f t="shared" si="212"/>
        <v/>
      </c>
      <c r="AY199" s="102" t="str">
        <f t="shared" si="213"/>
        <v/>
      </c>
      <c r="AZ199" s="102"/>
      <c r="BA199" s="102">
        <f>IF(AV199&lt;&gt;0,COUNTIFS($A$7:A199,A199,$AV$7:AV199,"Quên check in"))
+IF(AW199&lt;&gt;0,COUNTIFS($A$7:A199,A199,$AW$7:AW199,"Quên check in"))
+IF(AX199&lt;&gt;0,COUNTIFS($A$7:A199,A199,$AX$7:AX199,"Quên check out"))
+IF(AY199&lt;&gt;0,COUNTIFS($A$7:A199,A199,$AY$7:AY199,"Quên check out"))</f>
        <v>0</v>
      </c>
      <c r="BB199" s="143">
        <f t="shared" si="214"/>
        <v>0</v>
      </c>
    </row>
    <row r="200" spans="1:54" s="83" customFormat="1" ht="14.1" customHeight="1" x14ac:dyDescent="0.3">
      <c r="A200" s="103" t="s">
        <v>7</v>
      </c>
      <c r="B200" s="104" t="s">
        <v>16</v>
      </c>
      <c r="C200" s="105">
        <v>5000000</v>
      </c>
      <c r="D200" s="106">
        <v>43416</v>
      </c>
      <c r="E200" s="107">
        <v>43617</v>
      </c>
      <c r="F200" s="107">
        <v>73415</v>
      </c>
      <c r="G200" s="105">
        <v>26</v>
      </c>
      <c r="H200" s="105">
        <f t="shared" si="294"/>
        <v>4</v>
      </c>
      <c r="I200" s="105"/>
      <c r="J200" s="108">
        <v>43789</v>
      </c>
      <c r="K200" s="108" t="str">
        <f t="shared" si="295"/>
        <v>NV10943789VàoSáng</v>
      </c>
      <c r="L200" s="102" t="str">
        <f>IFERROR(VLOOKUP(K200,'1. Vân tay'!$F:$G,2,0),0)</f>
        <v>07:51:15</v>
      </c>
      <c r="M200" s="108" t="str">
        <f t="shared" si="296"/>
        <v>NV10943789RaSáng</v>
      </c>
      <c r="N200" s="102">
        <f>IFERROR(VLOOKUP(M200,'1. Vân tay'!$F:$G,2,0),0)</f>
        <v>0</v>
      </c>
      <c r="O200" s="108" t="str">
        <f t="shared" si="297"/>
        <v>NV10943789VàoChiều</v>
      </c>
      <c r="P200" s="102">
        <f>IFERROR(VLOOKUP(O200,'1. Vân tay'!$F:$G,2,0),0)</f>
        <v>0</v>
      </c>
      <c r="Q200" s="108" t="str">
        <f t="shared" si="298"/>
        <v>NV10943789RaChiều</v>
      </c>
      <c r="R200" s="102" t="str">
        <f>IFERROR(VLOOKUP(Q200,'1. Vân tay'!$F:$G,2,0),0)</f>
        <v>17:36:02</v>
      </c>
      <c r="S200" s="102">
        <f t="shared" si="299"/>
        <v>0</v>
      </c>
      <c r="T200" s="109">
        <v>0.33333333333333331</v>
      </c>
      <c r="U200" s="109">
        <v>0.5</v>
      </c>
      <c r="V200" s="109">
        <v>0.5625</v>
      </c>
      <c r="W200" s="109">
        <v>0.72916666666666663</v>
      </c>
      <c r="X200" s="102">
        <f>HDSD!$F$4</f>
        <v>5</v>
      </c>
      <c r="Y200" s="102">
        <f>SUMIFS('2. Đi muộn về sớm'!$K:$K,
'2. Đi muộn về sớm'!$B:$B,$A200,
'2. Đi muộn về sớm'!$D:$D,$J200)</f>
        <v>0</v>
      </c>
      <c r="Z200" s="110">
        <f t="shared" si="300"/>
        <v>0</v>
      </c>
      <c r="AA200" s="110">
        <f t="shared" si="301"/>
        <v>0</v>
      </c>
      <c r="AB200" s="111">
        <f t="shared" si="302"/>
        <v>0</v>
      </c>
      <c r="AC200" s="112">
        <f t="shared" si="307"/>
        <v>0</v>
      </c>
      <c r="AD200" s="113">
        <f t="shared" si="308"/>
        <v>0</v>
      </c>
      <c r="AE200" s="111">
        <f t="shared" si="303"/>
        <v>0</v>
      </c>
      <c r="AF200" s="113">
        <f t="shared" si="309"/>
        <v>0</v>
      </c>
      <c r="AG200" s="113">
        <f t="shared" si="310"/>
        <v>0</v>
      </c>
      <c r="AH200" s="114">
        <f t="shared" si="241"/>
        <v>9.7463888888888874</v>
      </c>
      <c r="AI200" s="102" t="str">
        <f t="shared" si="311"/>
        <v>X:8</v>
      </c>
      <c r="AJ200" s="102" t="str">
        <f t="shared" si="312"/>
        <v>NV10943789</v>
      </c>
      <c r="AK200" s="102" t="str">
        <f>IF(OR(J200&lt;D200,J200&gt;F200),"",
IFERROR(INDEX('3. Đơn xin nghỉ'!$K:$K,MATCH('4. Tổng hợp dữ liệu'!AJ200,'3. Đơn xin nghỉ'!$I:$I,0),1),
IF(AND(AU200="Không CC",I200&lt;&gt;1),"Ro:8","")))</f>
        <v/>
      </c>
      <c r="AL200" s="102" t="str">
        <f t="shared" si="313"/>
        <v/>
      </c>
      <c r="AM200" s="102" t="str">
        <f t="shared" si="304"/>
        <v>X:8</v>
      </c>
      <c r="AN200" s="102" t="s">
        <v>92</v>
      </c>
      <c r="AO200" s="102"/>
      <c r="AP200" s="115">
        <f>IFERROR(VLOOKUP(AN200,'Quy đổi công'!A:D,3,0),0)</f>
        <v>1</v>
      </c>
      <c r="AQ200" s="115">
        <f>IFERROR(VLOOKUP(AN200,'Quy đổi công'!A:D,4,0),0)</f>
        <v>0</v>
      </c>
      <c r="AR200" s="115">
        <f t="shared" si="314"/>
        <v>0</v>
      </c>
      <c r="AS200" s="115">
        <f t="shared" si="305"/>
        <v>1</v>
      </c>
      <c r="AT200" s="115">
        <f t="shared" si="306"/>
        <v>0</v>
      </c>
      <c r="AU200" s="102" t="str">
        <f t="shared" ref="AU200:AU263" si="315">IF(AND(L200=0,N200=0,P200=0,R200=0),"Không CC","")</f>
        <v/>
      </c>
      <c r="AV200" s="102" t="str">
        <f t="shared" ref="AV200:AV263" si="316">IF(AND(L200=0,N200&lt;&gt;0,P200=0,R200=0),"Quên check in","")</f>
        <v/>
      </c>
      <c r="AW200" s="102" t="str">
        <f t="shared" ref="AW200:AW263" si="317">IF(AND(L200=0,N200=0,P200=0,R200&lt;&gt;0),"Quên check in","")</f>
        <v/>
      </c>
      <c r="AX200" s="102" t="str">
        <f t="shared" ref="AX200:AX263" si="318">IF(AND(L200&lt;&gt;0,N200=0,P200=0,R200=0),"Quên check out","")</f>
        <v/>
      </c>
      <c r="AY200" s="102" t="str">
        <f t="shared" ref="AY200:AY263" si="319">IF(AND(L200=0,N200=0,P200&lt;&gt;0,R200=0),"Quên check out","")</f>
        <v/>
      </c>
      <c r="AZ200" s="102"/>
      <c r="BA200" s="102">
        <f>IF(AV200&lt;&gt;0,COUNTIFS($A$7:A200,A200,$AV$7:AV200,"Quên check in"))
+IF(AW200&lt;&gt;0,COUNTIFS($A$7:A200,A200,$AW$7:AW200,"Quên check in"))
+IF(AX200&lt;&gt;0,COUNTIFS($A$7:A200,A200,$AX$7:AX200,"Quên check out"))
+IF(AY200&lt;&gt;0,COUNTIFS($A$7:A200,A200,$AY$7:AY200,"Quên check out"))</f>
        <v>0</v>
      </c>
      <c r="BB200" s="143">
        <f t="shared" ref="BB200:BB263" si="320">IF(BA200&gt;=3,50000,0)</f>
        <v>0</v>
      </c>
    </row>
    <row r="201" spans="1:54" s="83" customFormat="1" ht="14.1" customHeight="1" x14ac:dyDescent="0.3">
      <c r="A201" s="103" t="s">
        <v>8</v>
      </c>
      <c r="B201" s="104" t="s">
        <v>17</v>
      </c>
      <c r="C201" s="105">
        <v>5000000</v>
      </c>
      <c r="D201" s="106">
        <v>43423</v>
      </c>
      <c r="E201" s="107">
        <v>43617</v>
      </c>
      <c r="F201" s="107">
        <v>73415</v>
      </c>
      <c r="G201" s="105">
        <v>26</v>
      </c>
      <c r="H201" s="105">
        <f t="shared" si="294"/>
        <v>4</v>
      </c>
      <c r="I201" s="105"/>
      <c r="J201" s="108">
        <v>43789</v>
      </c>
      <c r="K201" s="108" t="str">
        <f t="shared" si="295"/>
        <v>NV11343789VàoSáng</v>
      </c>
      <c r="L201" s="102" t="str">
        <f>IFERROR(VLOOKUP(K201,'1. Vân tay'!$F:$G,2,0),0)</f>
        <v>07:49:52</v>
      </c>
      <c r="M201" s="108" t="str">
        <f t="shared" si="296"/>
        <v>NV11343789RaSáng</v>
      </c>
      <c r="N201" s="102">
        <f>IFERROR(VLOOKUP(M201,'1. Vân tay'!$F:$G,2,0),0)</f>
        <v>0</v>
      </c>
      <c r="O201" s="108" t="str">
        <f t="shared" si="297"/>
        <v>NV11343789VàoChiều</v>
      </c>
      <c r="P201" s="102">
        <f>IFERROR(VLOOKUP(O201,'1. Vân tay'!$F:$G,2,0),0)</f>
        <v>0</v>
      </c>
      <c r="Q201" s="108" t="str">
        <f t="shared" si="298"/>
        <v>NV11343789RaChiều</v>
      </c>
      <c r="R201" s="102" t="str">
        <f>IFERROR(VLOOKUP(Q201,'1. Vân tay'!$F:$G,2,0),0)</f>
        <v>17:42:44</v>
      </c>
      <c r="S201" s="102">
        <f t="shared" si="299"/>
        <v>0</v>
      </c>
      <c r="T201" s="109">
        <v>0.33333333333333331</v>
      </c>
      <c r="U201" s="109">
        <v>0.5</v>
      </c>
      <c r="V201" s="109">
        <v>0.5625</v>
      </c>
      <c r="W201" s="109">
        <v>0.72916666666666663</v>
      </c>
      <c r="X201" s="102">
        <f>HDSD!$F$4</f>
        <v>5</v>
      </c>
      <c r="Y201" s="102">
        <f>SUMIFS('2. Đi muộn về sớm'!$K:$K,
'2. Đi muộn về sớm'!$B:$B,$A201,
'2. Đi muộn về sớm'!$D:$D,$J201)</f>
        <v>0</v>
      </c>
      <c r="Z201" s="110">
        <f t="shared" si="300"/>
        <v>0</v>
      </c>
      <c r="AA201" s="110">
        <f t="shared" si="301"/>
        <v>0</v>
      </c>
      <c r="AB201" s="111">
        <f t="shared" si="302"/>
        <v>0</v>
      </c>
      <c r="AC201" s="112">
        <f t="shared" si="307"/>
        <v>0</v>
      </c>
      <c r="AD201" s="113">
        <f t="shared" si="308"/>
        <v>0</v>
      </c>
      <c r="AE201" s="111">
        <f t="shared" si="303"/>
        <v>0</v>
      </c>
      <c r="AF201" s="113">
        <f t="shared" si="309"/>
        <v>0</v>
      </c>
      <c r="AG201" s="113">
        <f t="shared" si="310"/>
        <v>0</v>
      </c>
      <c r="AH201" s="114">
        <f t="shared" si="241"/>
        <v>9.8811111111111121</v>
      </c>
      <c r="AI201" s="102" t="str">
        <f t="shared" si="311"/>
        <v>X:8</v>
      </c>
      <c r="AJ201" s="102" t="str">
        <f t="shared" si="312"/>
        <v>NV11343789</v>
      </c>
      <c r="AK201" s="102" t="str">
        <f>IF(OR(J201&lt;D201,J201&gt;F201),"",
IFERROR(INDEX('3. Đơn xin nghỉ'!$K:$K,MATCH('4. Tổng hợp dữ liệu'!AJ201,'3. Đơn xin nghỉ'!$I:$I,0),1),
IF(AND(AU201="Không CC",I201&lt;&gt;1),"Ro:8","")))</f>
        <v/>
      </c>
      <c r="AL201" s="102" t="str">
        <f t="shared" si="313"/>
        <v/>
      </c>
      <c r="AM201" s="102" t="str">
        <f t="shared" si="304"/>
        <v>X:8</v>
      </c>
      <c r="AN201" s="102" t="s">
        <v>92</v>
      </c>
      <c r="AO201" s="102"/>
      <c r="AP201" s="115">
        <f>IFERROR(VLOOKUP(AN201,'Quy đổi công'!A:D,3,0),0)</f>
        <v>1</v>
      </c>
      <c r="AQ201" s="115">
        <f>IFERROR(VLOOKUP(AN201,'Quy đổi công'!A:D,4,0),0)</f>
        <v>0</v>
      </c>
      <c r="AR201" s="115">
        <f t="shared" si="314"/>
        <v>0</v>
      </c>
      <c r="AS201" s="115">
        <f t="shared" si="305"/>
        <v>1</v>
      </c>
      <c r="AT201" s="115">
        <f t="shared" si="306"/>
        <v>0</v>
      </c>
      <c r="AU201" s="102" t="str">
        <f t="shared" si="315"/>
        <v/>
      </c>
      <c r="AV201" s="102" t="str">
        <f t="shared" si="316"/>
        <v/>
      </c>
      <c r="AW201" s="102" t="str">
        <f t="shared" si="317"/>
        <v/>
      </c>
      <c r="AX201" s="102" t="str">
        <f t="shared" si="318"/>
        <v/>
      </c>
      <c r="AY201" s="102" t="str">
        <f t="shared" si="319"/>
        <v/>
      </c>
      <c r="AZ201" s="102"/>
      <c r="BA201" s="102">
        <f>IF(AV201&lt;&gt;0,COUNTIFS($A$7:A201,A201,$AV$7:AV201,"Quên check in"))
+IF(AW201&lt;&gt;0,COUNTIFS($A$7:A201,A201,$AW$7:AW201,"Quên check in"))
+IF(AX201&lt;&gt;0,COUNTIFS($A$7:A201,A201,$AX$7:AX201,"Quên check out"))
+IF(AY201&lt;&gt;0,COUNTIFS($A$7:A201,A201,$AY$7:AY201,"Quên check out"))</f>
        <v>1</v>
      </c>
      <c r="BB201" s="143">
        <f t="shared" si="320"/>
        <v>0</v>
      </c>
    </row>
    <row r="202" spans="1:54" s="83" customFormat="1" ht="26.4" x14ac:dyDescent="0.3">
      <c r="A202" s="103" t="s">
        <v>9</v>
      </c>
      <c r="B202" s="104" t="s">
        <v>18</v>
      </c>
      <c r="C202" s="105">
        <v>4900000</v>
      </c>
      <c r="D202" s="106">
        <v>43437</v>
      </c>
      <c r="E202" s="107">
        <v>43617</v>
      </c>
      <c r="F202" s="107">
        <v>73415</v>
      </c>
      <c r="G202" s="105">
        <v>26</v>
      </c>
      <c r="H202" s="105">
        <f t="shared" si="294"/>
        <v>4</v>
      </c>
      <c r="I202" s="105"/>
      <c r="J202" s="108">
        <v>43789</v>
      </c>
      <c r="K202" s="108" t="str">
        <f t="shared" si="295"/>
        <v>NV11443789VàoSáng</v>
      </c>
      <c r="L202" s="102" t="str">
        <f>IFERROR(VLOOKUP(K202,'1. Vân tay'!$F:$G,2,0),0)</f>
        <v>08:02:42</v>
      </c>
      <c r="M202" s="108" t="str">
        <f t="shared" si="296"/>
        <v>NV11443789RaSáng</v>
      </c>
      <c r="N202" s="102">
        <f>IFERROR(VLOOKUP(M202,'1. Vân tay'!$F:$G,2,0),0)</f>
        <v>0</v>
      </c>
      <c r="O202" s="108" t="str">
        <f t="shared" si="297"/>
        <v>NV11443789VàoChiều</v>
      </c>
      <c r="P202" s="102">
        <f>IFERROR(VLOOKUP(O202,'1. Vân tay'!$F:$G,2,0),0)</f>
        <v>0</v>
      </c>
      <c r="Q202" s="108" t="str">
        <f t="shared" si="298"/>
        <v>NV11443789RaChiều</v>
      </c>
      <c r="R202" s="102" t="str">
        <f>IFERROR(VLOOKUP(Q202,'1. Vân tay'!$F:$G,2,0),0)</f>
        <v>17:33:33</v>
      </c>
      <c r="S202" s="102">
        <f t="shared" si="299"/>
        <v>0</v>
      </c>
      <c r="T202" s="109">
        <v>0.33333333333333331</v>
      </c>
      <c r="U202" s="109">
        <v>0.5</v>
      </c>
      <c r="V202" s="109">
        <v>0.5625</v>
      </c>
      <c r="W202" s="109">
        <v>0.72916666666666663</v>
      </c>
      <c r="X202" s="102">
        <f>HDSD!$F$4</f>
        <v>5</v>
      </c>
      <c r="Y202" s="102">
        <f>SUMIFS('2. Đi muộn về sớm'!$K:$K,
'2. Đi muộn về sớm'!$B:$B,$A202,
'2. Đi muộn về sớm'!$D:$D,$J202)</f>
        <v>0</v>
      </c>
      <c r="Z202" s="110">
        <f t="shared" si="300"/>
        <v>2.7</v>
      </c>
      <c r="AA202" s="110">
        <f t="shared" si="301"/>
        <v>0</v>
      </c>
      <c r="AB202" s="111">
        <f t="shared" si="302"/>
        <v>2.7</v>
      </c>
      <c r="AC202" s="112">
        <f t="shared" si="307"/>
        <v>0</v>
      </c>
      <c r="AD202" s="113">
        <f t="shared" si="308"/>
        <v>0</v>
      </c>
      <c r="AE202" s="111">
        <f t="shared" si="303"/>
        <v>0</v>
      </c>
      <c r="AF202" s="113">
        <f t="shared" si="309"/>
        <v>0</v>
      </c>
      <c r="AG202" s="113">
        <f t="shared" si="310"/>
        <v>0</v>
      </c>
      <c r="AH202" s="114">
        <f t="shared" si="241"/>
        <v>9.5141666666666662</v>
      </c>
      <c r="AI202" s="102" t="str">
        <f t="shared" si="311"/>
        <v>X:8</v>
      </c>
      <c r="AJ202" s="102" t="str">
        <f t="shared" si="312"/>
        <v>NV11443789</v>
      </c>
      <c r="AK202" s="102" t="str">
        <f>IF(OR(J202&lt;D202,J202&gt;F202),"",
IFERROR(INDEX('3. Đơn xin nghỉ'!$K:$K,MATCH('4. Tổng hợp dữ liệu'!AJ202,'3. Đơn xin nghỉ'!$I:$I,0),1),
IF(AND(AU202="Không CC",I202&lt;&gt;1),"Ro:8","")))</f>
        <v>Ro:8</v>
      </c>
      <c r="AL202" s="102" t="str">
        <f t="shared" si="313"/>
        <v/>
      </c>
      <c r="AM202" s="102" t="str">
        <f t="shared" si="304"/>
        <v>X:8,Ro:8</v>
      </c>
      <c r="AN202" s="102" t="s">
        <v>92</v>
      </c>
      <c r="AO202" s="102" t="s">
        <v>242</v>
      </c>
      <c r="AP202" s="115">
        <f>IFERROR(VLOOKUP(AN202,'Quy đổi công'!A:D,3,0),0)</f>
        <v>1</v>
      </c>
      <c r="AQ202" s="115">
        <f>IFERROR(VLOOKUP(AN202,'Quy đổi công'!A:D,4,0),0)</f>
        <v>0</v>
      </c>
      <c r="AR202" s="115">
        <f t="shared" si="314"/>
        <v>0</v>
      </c>
      <c r="AS202" s="115">
        <f t="shared" si="305"/>
        <v>1</v>
      </c>
      <c r="AT202" s="115">
        <f t="shared" si="306"/>
        <v>0</v>
      </c>
      <c r="AU202" s="102" t="str">
        <f t="shared" si="315"/>
        <v/>
      </c>
      <c r="AV202" s="102" t="str">
        <f t="shared" si="316"/>
        <v/>
      </c>
      <c r="AW202" s="102" t="str">
        <f t="shared" si="317"/>
        <v/>
      </c>
      <c r="AX202" s="102" t="str">
        <f t="shared" si="318"/>
        <v/>
      </c>
      <c r="AY202" s="102" t="str">
        <f t="shared" si="319"/>
        <v/>
      </c>
      <c r="AZ202" s="102"/>
      <c r="BA202" s="102">
        <f>IF(AV202&lt;&gt;0,COUNTIFS($A$7:A202,A202,$AV$7:AV202,"Quên check in"))
+IF(AW202&lt;&gt;0,COUNTIFS($A$7:A202,A202,$AW$7:AW202,"Quên check in"))
+IF(AX202&lt;&gt;0,COUNTIFS($A$7:A202,A202,$AX$7:AX202,"Quên check out"))
+IF(AY202&lt;&gt;0,COUNTIFS($A$7:A202,A202,$AY$7:AY202,"Quên check out"))</f>
        <v>1</v>
      </c>
      <c r="BB202" s="143">
        <f t="shared" si="320"/>
        <v>0</v>
      </c>
    </row>
    <row r="203" spans="1:54" s="83" customFormat="1" ht="14.1" customHeight="1" x14ac:dyDescent="0.3">
      <c r="A203" s="103" t="s">
        <v>10</v>
      </c>
      <c r="B203" s="104" t="s">
        <v>19</v>
      </c>
      <c r="C203" s="105">
        <v>5000000</v>
      </c>
      <c r="D203" s="106">
        <v>43445</v>
      </c>
      <c r="E203" s="107">
        <v>43647</v>
      </c>
      <c r="F203" s="107">
        <v>73415</v>
      </c>
      <c r="G203" s="105">
        <v>26</v>
      </c>
      <c r="H203" s="105">
        <f t="shared" si="294"/>
        <v>4</v>
      </c>
      <c r="I203" s="105"/>
      <c r="J203" s="108">
        <v>43789</v>
      </c>
      <c r="K203" s="108" t="str">
        <f t="shared" si="295"/>
        <v>NV11843789VàoSáng</v>
      </c>
      <c r="L203" s="102">
        <f>IFERROR(VLOOKUP(K203,'1. Vân tay'!$F:$G,2,0),0)</f>
        <v>0</v>
      </c>
      <c r="M203" s="108" t="str">
        <f t="shared" si="296"/>
        <v>NV11843789RaSáng</v>
      </c>
      <c r="N203" s="102">
        <f>IFERROR(VLOOKUP(M203,'1. Vân tay'!$F:$G,2,0),0)</f>
        <v>0</v>
      </c>
      <c r="O203" s="108" t="str">
        <f t="shared" si="297"/>
        <v>NV11843789VàoChiều</v>
      </c>
      <c r="P203" s="102">
        <f>IFERROR(VLOOKUP(O203,'1. Vân tay'!$F:$G,2,0),0)</f>
        <v>0</v>
      </c>
      <c r="Q203" s="108" t="str">
        <f t="shared" si="298"/>
        <v>NV11843789RaChiều</v>
      </c>
      <c r="R203" s="102" t="str">
        <f>IFERROR(VLOOKUP(Q203,'1. Vân tay'!$F:$G,2,0),0)</f>
        <v>17:33:20</v>
      </c>
      <c r="S203" s="102">
        <f t="shared" si="299"/>
        <v>0</v>
      </c>
      <c r="T203" s="109">
        <v>0.33333333333333331</v>
      </c>
      <c r="U203" s="109">
        <v>0.5</v>
      </c>
      <c r="V203" s="109">
        <v>0.5625</v>
      </c>
      <c r="W203" s="109">
        <v>0.72916666666666663</v>
      </c>
      <c r="X203" s="102">
        <f>HDSD!$F$4</f>
        <v>5</v>
      </c>
      <c r="Y203" s="102">
        <f>SUMIFS('2. Đi muộn về sớm'!$K:$K,
'2. Đi muộn về sớm'!$B:$B,$A203,
'2. Đi muộn về sớm'!$D:$D,$J203)</f>
        <v>0</v>
      </c>
      <c r="Z203" s="110">
        <f t="shared" si="300"/>
        <v>0</v>
      </c>
      <c r="AA203" s="110">
        <f t="shared" si="301"/>
        <v>0</v>
      </c>
      <c r="AB203" s="111">
        <f t="shared" si="302"/>
        <v>0</v>
      </c>
      <c r="AC203" s="112">
        <f t="shared" si="307"/>
        <v>0</v>
      </c>
      <c r="AD203" s="113">
        <f t="shared" si="308"/>
        <v>0</v>
      </c>
      <c r="AE203" s="111">
        <f t="shared" si="303"/>
        <v>0</v>
      </c>
      <c r="AF203" s="113">
        <f t="shared" si="309"/>
        <v>0</v>
      </c>
      <c r="AG203" s="113">
        <f t="shared" si="310"/>
        <v>0</v>
      </c>
      <c r="AH203" s="114">
        <f t="shared" si="241"/>
        <v>4.0555555555555554</v>
      </c>
      <c r="AI203" s="102" t="str">
        <f t="shared" si="311"/>
        <v>X:4</v>
      </c>
      <c r="AJ203" s="102" t="str">
        <f t="shared" si="312"/>
        <v>NV11843789</v>
      </c>
      <c r="AK203" s="102" t="str">
        <f>IF(OR(J203&lt;D203,J203&gt;F203),"",
IFERROR(INDEX('3. Đơn xin nghỉ'!$K:$K,MATCH('4. Tổng hợp dữ liệu'!AJ203,'3. Đơn xin nghỉ'!$I:$I,0),1),
IF(AND(AU203="Không CC",I203&lt;&gt;1),"Ro:8","")))</f>
        <v/>
      </c>
      <c r="AL203" s="102" t="str">
        <f t="shared" si="313"/>
        <v/>
      </c>
      <c r="AM203" s="102" t="str">
        <f t="shared" si="304"/>
        <v>X:4</v>
      </c>
      <c r="AN203" s="102" t="s">
        <v>92</v>
      </c>
      <c r="AO203" s="102" t="s">
        <v>280</v>
      </c>
      <c r="AP203" s="115">
        <f>IFERROR(VLOOKUP(AN203,'Quy đổi công'!A:D,3,0),0)</f>
        <v>1</v>
      </c>
      <c r="AQ203" s="115">
        <f>IFERROR(VLOOKUP(AN203,'Quy đổi công'!A:D,4,0),0)</f>
        <v>0</v>
      </c>
      <c r="AR203" s="115">
        <f t="shared" si="314"/>
        <v>0</v>
      </c>
      <c r="AS203" s="115">
        <f t="shared" si="305"/>
        <v>1</v>
      </c>
      <c r="AT203" s="115">
        <f t="shared" si="306"/>
        <v>0</v>
      </c>
      <c r="AU203" s="102" t="str">
        <f t="shared" si="315"/>
        <v/>
      </c>
      <c r="AV203" s="102" t="str">
        <f t="shared" si="316"/>
        <v/>
      </c>
      <c r="AW203" s="102" t="str">
        <f t="shared" si="317"/>
        <v>Quên check in</v>
      </c>
      <c r="AX203" s="102" t="str">
        <f t="shared" si="318"/>
        <v/>
      </c>
      <c r="AY203" s="102" t="str">
        <f t="shared" si="319"/>
        <v/>
      </c>
      <c r="AZ203" s="102" t="s">
        <v>230</v>
      </c>
      <c r="BA203" s="102">
        <f>IF(AV203&lt;&gt;0,COUNTIFS($A$7:A203,A203,$AV$7:AV203,"Quên check in"))
+IF(AW203&lt;&gt;0,COUNTIFS($A$7:A203,A203,$AW$7:AW203,"Quên check in"))
+IF(AX203&lt;&gt;0,COUNTIFS($A$7:A203,A203,$AX$7:AX203,"Quên check out"))
+IF(AY203&lt;&gt;0,COUNTIFS($A$7:A203,A203,$AY$7:AY203,"Quên check out"))</f>
        <v>1</v>
      </c>
      <c r="BB203" s="143">
        <f t="shared" si="320"/>
        <v>0</v>
      </c>
    </row>
    <row r="204" spans="1:54" s="83" customFormat="1" ht="14.1" customHeight="1" x14ac:dyDescent="0.3">
      <c r="A204" s="103" t="s">
        <v>11</v>
      </c>
      <c r="B204" s="104" t="s">
        <v>20</v>
      </c>
      <c r="C204" s="105">
        <v>4700000</v>
      </c>
      <c r="D204" s="106">
        <v>43467</v>
      </c>
      <c r="E204" s="107">
        <v>43617</v>
      </c>
      <c r="F204" s="107">
        <v>73415</v>
      </c>
      <c r="G204" s="105">
        <v>26</v>
      </c>
      <c r="H204" s="105">
        <f t="shared" si="294"/>
        <v>4</v>
      </c>
      <c r="I204" s="105"/>
      <c r="J204" s="108">
        <v>43789</v>
      </c>
      <c r="K204" s="108" t="str">
        <f t="shared" ref="K204:K210" si="321">$A204&amp;$J204&amp;"Vào"&amp;"Sáng"</f>
        <v>NV12243789VàoSáng</v>
      </c>
      <c r="L204" s="102" t="str">
        <f>IFERROR(VLOOKUP(K204,'1. Vân tay'!$F:$G,2,0),0)</f>
        <v>08:06:56</v>
      </c>
      <c r="M204" s="108" t="str">
        <f t="shared" ref="M204:M210" si="322">$A204&amp;$J204&amp;"Ra"&amp;"Sáng"</f>
        <v>NV12243789RaSáng</v>
      </c>
      <c r="N204" s="102">
        <f>IFERROR(VLOOKUP(M204,'1. Vân tay'!$F:$G,2,0),0)</f>
        <v>0</v>
      </c>
      <c r="O204" s="108" t="str">
        <f t="shared" ref="O204:O210" si="323">$A204&amp;$J204&amp;"Vào"&amp;"Chiều"</f>
        <v>NV12243789VàoChiều</v>
      </c>
      <c r="P204" s="102">
        <f>IFERROR(VLOOKUP(O204,'1. Vân tay'!$F:$G,2,0),0)</f>
        <v>0</v>
      </c>
      <c r="Q204" s="108" t="str">
        <f t="shared" ref="Q204:Q210" si="324">$A204&amp;$J204&amp;"Ra"&amp;"Chiều"</f>
        <v>NV12243789RaChiều</v>
      </c>
      <c r="R204" s="102" t="str">
        <f>IFERROR(VLOOKUP(Q204,'1. Vân tay'!$F:$G,2,0),0)</f>
        <v>17:32:26</v>
      </c>
      <c r="S204" s="102">
        <f t="shared" si="299"/>
        <v>0</v>
      </c>
      <c r="T204" s="109">
        <v>0.33333333333333331</v>
      </c>
      <c r="U204" s="109">
        <v>0.5</v>
      </c>
      <c r="V204" s="109">
        <v>0.5625</v>
      </c>
      <c r="W204" s="109">
        <v>0.72916666666666663</v>
      </c>
      <c r="X204" s="102">
        <f>HDSD!$F$4</f>
        <v>5</v>
      </c>
      <c r="Y204" s="102">
        <f>SUMIFS('2. Đi muộn về sớm'!$K:$K,
'2. Đi muộn về sớm'!$B:$B,$A204,
'2. Đi muộn về sớm'!$D:$D,$J204)</f>
        <v>0</v>
      </c>
      <c r="Z204" s="110">
        <f t="shared" ref="Z204:Z210" si="325">IF(L204=0,0,IFERROR((HOUR(L204-T204)*60+MINUTE(L204-T204)+SECOND(L204-T204)/60),0))
+IF(N204=0,0, IFERROR((HOUR(U204-N204)*60+MINUTE(U204-N204)+SECOND(U204-N204)/60),0))
+IF(P204=0,0, IFERROR((HOUR(P204-V204)*60+MINUTE(P204-V204)+SECOND(P204-V204)/60),0))
+IF(R204=0,0, IFERROR((HOUR(W204-R204)*60+MINUTE(W204-R204)+SECOND(W204-R204)/60),0))</f>
        <v>6.9333333333333336</v>
      </c>
      <c r="AA204" s="110">
        <f t="shared" ref="AA204:AA210" si="326">IF(L204=0,0,IFERROR((HOUR(L204-"09:00:00")*60+MINUTE(L204-"09:00:00")+SECOND(L204-"09:00:00")/60),0))
+IF(N204=0,0, IFERROR((HOUR(U204-N204)*60+MINUTE(U204-N204)+SECOND(U204-N204)/60),0))
+IF(P204=0,0, IFERROR((HOUR(P204-V204)*60+MINUTE(P204-V204)+SECOND(P204-V204)/60),0))
+IF(R204=0,0, IFERROR((HOUR("16:30:00"-R204)*60+MINUTE("16:30:00"-R204)+SECOND("16:30:00"-R204)/60),0))</f>
        <v>0</v>
      </c>
      <c r="AB204" s="111">
        <f t="shared" ref="AB204:AB210" si="327">Z204-AA204</f>
        <v>6.9333333333333336</v>
      </c>
      <c r="AC204" s="112">
        <f t="shared" si="307"/>
        <v>1.9333333333333336</v>
      </c>
      <c r="AD204" s="113">
        <f t="shared" si="308"/>
        <v>3866.666666666667</v>
      </c>
      <c r="AE204" s="111">
        <f t="shared" ref="AE204:AE210" si="328">AA204/60/8</f>
        <v>0</v>
      </c>
      <c r="AF204" s="113">
        <f t="shared" si="309"/>
        <v>0</v>
      </c>
      <c r="AG204" s="113">
        <f t="shared" si="310"/>
        <v>3866.666666666667</v>
      </c>
      <c r="AH204" s="114">
        <f t="shared" si="241"/>
        <v>9.4249999999999989</v>
      </c>
      <c r="AI204" s="102" t="str">
        <f t="shared" si="311"/>
        <v>X:8</v>
      </c>
      <c r="AJ204" s="102" t="str">
        <f t="shared" si="312"/>
        <v>NV12243789</v>
      </c>
      <c r="AK204" s="102" t="str">
        <f>IF(OR(J204&lt;D204,J204&gt;F204),"",
IFERROR(INDEX('3. Đơn xin nghỉ'!$K:$K,MATCH('4. Tổng hợp dữ liệu'!AJ204,'3. Đơn xin nghỉ'!$I:$I,0),1),
IF(AND(AU204="Không CC",I204&lt;&gt;1),"Ro:8","")))</f>
        <v/>
      </c>
      <c r="AL204" s="102" t="str">
        <f t="shared" si="313"/>
        <v/>
      </c>
      <c r="AM204" s="102" t="str">
        <f t="shared" si="304"/>
        <v>X:8</v>
      </c>
      <c r="AN204" s="102" t="s">
        <v>92</v>
      </c>
      <c r="AO204" s="102"/>
      <c r="AP204" s="115">
        <f>IFERROR(VLOOKUP(AN204,'Quy đổi công'!A:D,3,0),0)</f>
        <v>1</v>
      </c>
      <c r="AQ204" s="115">
        <f>IFERROR(VLOOKUP(AN204,'Quy đổi công'!A:D,4,0),0)</f>
        <v>0</v>
      </c>
      <c r="AR204" s="115">
        <f t="shared" si="314"/>
        <v>0</v>
      </c>
      <c r="AS204" s="115">
        <f t="shared" si="305"/>
        <v>1</v>
      </c>
      <c r="AT204" s="115">
        <f t="shared" ref="AT204:AT210" si="329">IF(AN204="P8",1)
+IF(OR(AN204="X:4,P:4",AN204="P:4,Rv:4",AN204="P:4,Ro:4"),1/2)</f>
        <v>0</v>
      </c>
      <c r="AU204" s="102" t="str">
        <f t="shared" si="315"/>
        <v/>
      </c>
      <c r="AV204" s="102" t="str">
        <f t="shared" si="316"/>
        <v/>
      </c>
      <c r="AW204" s="102" t="str">
        <f t="shared" si="317"/>
        <v/>
      </c>
      <c r="AX204" s="102" t="str">
        <f t="shared" si="318"/>
        <v/>
      </c>
      <c r="AY204" s="102" t="str">
        <f t="shared" si="319"/>
        <v/>
      </c>
      <c r="AZ204" s="102"/>
      <c r="BA204" s="102">
        <f>IF(AV204&lt;&gt;0,COUNTIFS($A$7:A204,A204,$AV$7:AV204,"Quên check in"))
+IF(AW204&lt;&gt;0,COUNTIFS($A$7:A204,A204,$AW$7:AW204,"Quên check in"))
+IF(AX204&lt;&gt;0,COUNTIFS($A$7:A204,A204,$AX$7:AX204,"Quên check out"))
+IF(AY204&lt;&gt;0,COUNTIFS($A$7:A204,A204,$AY$7:AY204,"Quên check out"))</f>
        <v>1</v>
      </c>
      <c r="BB204" s="143">
        <f t="shared" si="320"/>
        <v>0</v>
      </c>
    </row>
    <row r="205" spans="1:54" s="83" customFormat="1" ht="14.1" customHeight="1" x14ac:dyDescent="0.3">
      <c r="A205" s="103" t="s">
        <v>12</v>
      </c>
      <c r="B205" s="104" t="s">
        <v>21</v>
      </c>
      <c r="C205" s="105">
        <v>5000000</v>
      </c>
      <c r="D205" s="106">
        <v>43482</v>
      </c>
      <c r="E205" s="107">
        <v>43647</v>
      </c>
      <c r="F205" s="107">
        <v>73415</v>
      </c>
      <c r="G205" s="105">
        <v>26</v>
      </c>
      <c r="H205" s="105">
        <f t="shared" ref="H205:H211" si="330">WEEKDAY(J205,1)</f>
        <v>4</v>
      </c>
      <c r="I205" s="105"/>
      <c r="J205" s="108">
        <v>43789</v>
      </c>
      <c r="K205" s="108" t="str">
        <f t="shared" si="321"/>
        <v>NV12343789VàoSáng</v>
      </c>
      <c r="L205" s="102" t="str">
        <f>IFERROR(VLOOKUP(K205,'1. Vân tay'!$F:$G,2,0),0)</f>
        <v>07:53:26</v>
      </c>
      <c r="M205" s="108" t="str">
        <f t="shared" si="322"/>
        <v>NV12343789RaSáng</v>
      </c>
      <c r="N205" s="102">
        <f>IFERROR(VLOOKUP(M205,'1. Vân tay'!$F:$G,2,0),0)</f>
        <v>0</v>
      </c>
      <c r="O205" s="108" t="str">
        <f t="shared" si="323"/>
        <v>NV12343789VàoChiều</v>
      </c>
      <c r="P205" s="102">
        <f>IFERROR(VLOOKUP(O205,'1. Vân tay'!$F:$G,2,0),0)</f>
        <v>0</v>
      </c>
      <c r="Q205" s="108" t="str">
        <f t="shared" si="324"/>
        <v>NV12343789RaChiều</v>
      </c>
      <c r="R205" s="102" t="str">
        <f>IFERROR(VLOOKUP(Q205,'1. Vân tay'!$F:$G,2,0),0)</f>
        <v>17:33:41</v>
      </c>
      <c r="S205" s="102">
        <f t="shared" ref="S205:S211" si="331">IF(OR(
(AND(L205&lt;&gt;0,P205&lt;&gt;0)),
(AND(N205&lt;&gt;0,R205&lt;&gt;0))),"Kiểm tra",0)</f>
        <v>0</v>
      </c>
      <c r="T205" s="109">
        <v>0.33333333333333331</v>
      </c>
      <c r="U205" s="109">
        <v>0.5</v>
      </c>
      <c r="V205" s="109">
        <v>0.5625</v>
      </c>
      <c r="W205" s="109">
        <v>0.72916666666666663</v>
      </c>
      <c r="X205" s="102">
        <f>HDSD!$F$4</f>
        <v>5</v>
      </c>
      <c r="Y205" s="102">
        <f>SUMIFS('2. Đi muộn về sớm'!$K:$K,
'2. Đi muộn về sớm'!$B:$B,$A205,
'2. Đi muộn về sớm'!$D:$D,$J205)</f>
        <v>0</v>
      </c>
      <c r="Z205" s="110">
        <f t="shared" si="325"/>
        <v>0</v>
      </c>
      <c r="AA205" s="110">
        <f t="shared" si="326"/>
        <v>0</v>
      </c>
      <c r="AB205" s="111">
        <f t="shared" si="327"/>
        <v>0</v>
      </c>
      <c r="AC205" s="112">
        <f t="shared" si="307"/>
        <v>0</v>
      </c>
      <c r="AD205" s="113">
        <f t="shared" si="308"/>
        <v>0</v>
      </c>
      <c r="AE205" s="111">
        <f t="shared" si="328"/>
        <v>0</v>
      </c>
      <c r="AF205" s="113">
        <f t="shared" si="309"/>
        <v>0</v>
      </c>
      <c r="AG205" s="113">
        <f t="shared" si="310"/>
        <v>0</v>
      </c>
      <c r="AH205" s="114">
        <f t="shared" si="241"/>
        <v>9.6708333333333325</v>
      </c>
      <c r="AI205" s="102" t="str">
        <f t="shared" si="311"/>
        <v>X:8</v>
      </c>
      <c r="AJ205" s="102" t="str">
        <f t="shared" si="312"/>
        <v>NV12343789</v>
      </c>
      <c r="AK205" s="102" t="str">
        <f>IF(OR(J205&lt;D205,J205&gt;F205),"",
IFERROR(INDEX('3. Đơn xin nghỉ'!$K:$K,MATCH('4. Tổng hợp dữ liệu'!AJ205,'3. Đơn xin nghỉ'!$I:$I,0),1),
IF(AND(AU205="Không CC",I205&lt;&gt;1),"Ro:8","")))</f>
        <v/>
      </c>
      <c r="AL205" s="102" t="str">
        <f t="shared" si="313"/>
        <v/>
      </c>
      <c r="AM205" s="102" t="str">
        <f t="shared" ref="AM205:AM211" si="332">IF(OR(AI205="",AK205=""),AI205&amp;AK205,AI205&amp;","&amp;AK205)&amp;AL205</f>
        <v>X:8</v>
      </c>
      <c r="AN205" s="102" t="s">
        <v>92</v>
      </c>
      <c r="AO205" s="102"/>
      <c r="AP205" s="115">
        <f>IFERROR(VLOOKUP(AN205,'Quy đổi công'!A:D,3,0),0)</f>
        <v>1</v>
      </c>
      <c r="AQ205" s="115">
        <f>IFERROR(VLOOKUP(AN205,'Quy đổi công'!A:D,4,0),0)</f>
        <v>0</v>
      </c>
      <c r="AR205" s="115">
        <f t="shared" si="314"/>
        <v>0</v>
      </c>
      <c r="AS205" s="115">
        <f t="shared" ref="AS205:AS211" si="333">AP205-AR205</f>
        <v>1</v>
      </c>
      <c r="AT205" s="115">
        <f t="shared" si="329"/>
        <v>0</v>
      </c>
      <c r="AU205" s="102" t="str">
        <f t="shared" si="315"/>
        <v/>
      </c>
      <c r="AV205" s="102" t="str">
        <f t="shared" si="316"/>
        <v/>
      </c>
      <c r="AW205" s="102" t="str">
        <f t="shared" si="317"/>
        <v/>
      </c>
      <c r="AX205" s="102" t="str">
        <f t="shared" si="318"/>
        <v/>
      </c>
      <c r="AY205" s="102" t="str">
        <f t="shared" si="319"/>
        <v/>
      </c>
      <c r="AZ205" s="102"/>
      <c r="BA205" s="102">
        <f>IF(AV205&lt;&gt;0,COUNTIFS($A$7:A205,A205,$AV$7:AV205,"Quên check in"))
+IF(AW205&lt;&gt;0,COUNTIFS($A$7:A205,A205,$AW$7:AW205,"Quên check in"))
+IF(AX205&lt;&gt;0,COUNTIFS($A$7:A205,A205,$AX$7:AX205,"Quên check out"))
+IF(AY205&lt;&gt;0,COUNTIFS($A$7:A205,A205,$AY$7:AY205,"Quên check out"))</f>
        <v>1</v>
      </c>
      <c r="BB205" s="143">
        <f t="shared" si="320"/>
        <v>0</v>
      </c>
    </row>
    <row r="206" spans="1:54" s="83" customFormat="1" ht="14.1" customHeight="1" x14ac:dyDescent="0.3">
      <c r="A206" s="103" t="s">
        <v>13</v>
      </c>
      <c r="B206" s="104" t="s">
        <v>22</v>
      </c>
      <c r="C206" s="105">
        <v>4700000</v>
      </c>
      <c r="D206" s="106">
        <v>43531</v>
      </c>
      <c r="E206" s="107">
        <v>43647</v>
      </c>
      <c r="F206" s="107">
        <v>73415</v>
      </c>
      <c r="G206" s="105">
        <v>26</v>
      </c>
      <c r="H206" s="105">
        <f t="shared" si="330"/>
        <v>4</v>
      </c>
      <c r="I206" s="105"/>
      <c r="J206" s="108">
        <v>43789</v>
      </c>
      <c r="K206" s="108" t="str">
        <f t="shared" si="321"/>
        <v>NV12643789VàoSáng</v>
      </c>
      <c r="L206" s="102" t="str">
        <f>IFERROR(VLOOKUP(K206,'1. Vân tay'!$F:$G,2,0),0)</f>
        <v>08:58:40</v>
      </c>
      <c r="M206" s="108" t="str">
        <f t="shared" si="322"/>
        <v>NV12643789RaSáng</v>
      </c>
      <c r="N206" s="102">
        <f>IFERROR(VLOOKUP(M206,'1. Vân tay'!$F:$G,2,0),0)</f>
        <v>0</v>
      </c>
      <c r="O206" s="108" t="str">
        <f t="shared" si="323"/>
        <v>NV12643789VàoChiều</v>
      </c>
      <c r="P206" s="102">
        <f>IFERROR(VLOOKUP(O206,'1. Vân tay'!$F:$G,2,0),0)</f>
        <v>0</v>
      </c>
      <c r="Q206" s="108" t="str">
        <f t="shared" si="324"/>
        <v>NV12643789RaChiều</v>
      </c>
      <c r="R206" s="102" t="str">
        <f>IFERROR(VLOOKUP(Q206,'1. Vân tay'!$F:$G,2,0),0)</f>
        <v>17:33:50</v>
      </c>
      <c r="S206" s="102">
        <f t="shared" si="331"/>
        <v>0</v>
      </c>
      <c r="T206" s="109">
        <v>0.33333333333333331</v>
      </c>
      <c r="U206" s="109">
        <v>0.5</v>
      </c>
      <c r="V206" s="109">
        <v>0.5625</v>
      </c>
      <c r="W206" s="109">
        <v>0.72916666666666663</v>
      </c>
      <c r="X206" s="102">
        <f>HDSD!$F$4</f>
        <v>5</v>
      </c>
      <c r="Y206" s="102">
        <f>SUMIFS('2. Đi muộn về sớm'!$K:$K,
'2. Đi muộn về sớm'!$B:$B,$A206,
'2. Đi muộn về sớm'!$D:$D,$J206)</f>
        <v>0</v>
      </c>
      <c r="Z206" s="110">
        <f t="shared" si="325"/>
        <v>58.666666666666664</v>
      </c>
      <c r="AA206" s="110">
        <f t="shared" si="326"/>
        <v>0</v>
      </c>
      <c r="AB206" s="111">
        <f t="shared" si="327"/>
        <v>58.666666666666664</v>
      </c>
      <c r="AC206" s="112">
        <f t="shared" si="307"/>
        <v>53.666666666666664</v>
      </c>
      <c r="AD206" s="113">
        <f t="shared" si="308"/>
        <v>107333.33333333333</v>
      </c>
      <c r="AE206" s="111">
        <f t="shared" si="328"/>
        <v>0</v>
      </c>
      <c r="AF206" s="113">
        <f t="shared" si="309"/>
        <v>0</v>
      </c>
      <c r="AG206" s="113">
        <f t="shared" si="310"/>
        <v>107333.33333333333</v>
      </c>
      <c r="AH206" s="114">
        <f t="shared" si="241"/>
        <v>8.5861111111111121</v>
      </c>
      <c r="AI206" s="102" t="str">
        <f t="shared" si="311"/>
        <v>X:8</v>
      </c>
      <c r="AJ206" s="102" t="str">
        <f t="shared" si="312"/>
        <v>NV12643789</v>
      </c>
      <c r="AK206" s="102" t="str">
        <f>IF(OR(J206&lt;D206,J206&gt;F206),"",
IFERROR(INDEX('3. Đơn xin nghỉ'!$K:$K,MATCH('4. Tổng hợp dữ liệu'!AJ206,'3. Đơn xin nghỉ'!$I:$I,0),1),
IF(AND(AU206="Không CC",I206&lt;&gt;1),"Ro:8","")))</f>
        <v/>
      </c>
      <c r="AL206" s="102" t="str">
        <f t="shared" si="313"/>
        <v/>
      </c>
      <c r="AM206" s="102" t="str">
        <f t="shared" si="332"/>
        <v>X:8</v>
      </c>
      <c r="AN206" s="102" t="s">
        <v>92</v>
      </c>
      <c r="AO206" s="102"/>
      <c r="AP206" s="115">
        <f>IFERROR(VLOOKUP(AN206,'Quy đổi công'!A:D,3,0),0)</f>
        <v>1</v>
      </c>
      <c r="AQ206" s="115">
        <f>IFERROR(VLOOKUP(AN206,'Quy đổi công'!A:D,4,0),0)</f>
        <v>0</v>
      </c>
      <c r="AR206" s="115">
        <f t="shared" si="314"/>
        <v>0</v>
      </c>
      <c r="AS206" s="115">
        <f t="shared" si="333"/>
        <v>1</v>
      </c>
      <c r="AT206" s="115">
        <f t="shared" si="329"/>
        <v>0</v>
      </c>
      <c r="AU206" s="102" t="str">
        <f t="shared" si="315"/>
        <v/>
      </c>
      <c r="AV206" s="102" t="str">
        <f t="shared" si="316"/>
        <v/>
      </c>
      <c r="AW206" s="102" t="str">
        <f t="shared" si="317"/>
        <v/>
      </c>
      <c r="AX206" s="102" t="str">
        <f t="shared" si="318"/>
        <v/>
      </c>
      <c r="AY206" s="102" t="str">
        <f t="shared" si="319"/>
        <v/>
      </c>
      <c r="AZ206" s="102"/>
      <c r="BA206" s="102">
        <f>IF(AV206&lt;&gt;0,COUNTIFS($A$7:A206,A206,$AV$7:AV206,"Quên check in"))
+IF(AW206&lt;&gt;0,COUNTIFS($A$7:A206,A206,$AW$7:AW206,"Quên check in"))
+IF(AX206&lt;&gt;0,COUNTIFS($A$7:A206,A206,$AX$7:AX206,"Quên check out"))
+IF(AY206&lt;&gt;0,COUNTIFS($A$7:A206,A206,$AY$7:AY206,"Quên check out"))</f>
        <v>0</v>
      </c>
      <c r="BB206" s="143">
        <f t="shared" si="320"/>
        <v>0</v>
      </c>
    </row>
    <row r="207" spans="1:54" s="83" customFormat="1" ht="14.1" customHeight="1" x14ac:dyDescent="0.3">
      <c r="A207" s="103" t="s">
        <v>4</v>
      </c>
      <c r="B207" s="104" t="s">
        <v>14</v>
      </c>
      <c r="C207" s="105">
        <v>4700000</v>
      </c>
      <c r="D207" s="106">
        <v>43388</v>
      </c>
      <c r="E207" s="107">
        <v>43525</v>
      </c>
      <c r="F207" s="107">
        <v>73415</v>
      </c>
      <c r="G207" s="105">
        <v>26</v>
      </c>
      <c r="H207" s="105">
        <f t="shared" si="330"/>
        <v>5</v>
      </c>
      <c r="I207" s="105"/>
      <c r="J207" s="108">
        <v>43790</v>
      </c>
      <c r="K207" s="108" t="str">
        <f t="shared" si="321"/>
        <v>NV10143790VàoSáng</v>
      </c>
      <c r="L207" s="102" t="str">
        <f>IFERROR(VLOOKUP(K207,'1. Vân tay'!$F:$G,2,0),0)</f>
        <v>08:00:21</v>
      </c>
      <c r="M207" s="108" t="str">
        <f t="shared" si="322"/>
        <v>NV10143790RaSáng</v>
      </c>
      <c r="N207" s="102">
        <f>IFERROR(VLOOKUP(M207,'1. Vân tay'!$F:$G,2,0),0)</f>
        <v>0</v>
      </c>
      <c r="O207" s="108" t="str">
        <f t="shared" si="323"/>
        <v>NV10143790VàoChiều</v>
      </c>
      <c r="P207" s="102">
        <f>IFERROR(VLOOKUP(O207,'1. Vân tay'!$F:$G,2,0),0)</f>
        <v>0</v>
      </c>
      <c r="Q207" s="108" t="str">
        <f t="shared" si="324"/>
        <v>NV10143790RaChiều</v>
      </c>
      <c r="R207" s="102" t="str">
        <f>IFERROR(VLOOKUP(Q207,'1. Vân tay'!$F:$G,2,0),0)</f>
        <v>17:32:09</v>
      </c>
      <c r="S207" s="102">
        <f t="shared" si="331"/>
        <v>0</v>
      </c>
      <c r="T207" s="109">
        <v>0.33333333333333331</v>
      </c>
      <c r="U207" s="109">
        <v>0.5</v>
      </c>
      <c r="V207" s="109">
        <v>0.5625</v>
      </c>
      <c r="W207" s="109">
        <v>0.72916666666666663</v>
      </c>
      <c r="X207" s="102">
        <f>HDSD!$F$4</f>
        <v>5</v>
      </c>
      <c r="Y207" s="102">
        <f>SUMIFS('2. Đi muộn về sớm'!$K:$K,
'2. Đi muộn về sớm'!$B:$B,$A207,
'2. Đi muộn về sớm'!$D:$D,$J207)</f>
        <v>0</v>
      </c>
      <c r="Z207" s="110">
        <f t="shared" si="325"/>
        <v>0.35</v>
      </c>
      <c r="AA207" s="110">
        <f t="shared" si="326"/>
        <v>0</v>
      </c>
      <c r="AB207" s="111">
        <f t="shared" si="327"/>
        <v>0.35</v>
      </c>
      <c r="AC207" s="112">
        <f t="shared" si="307"/>
        <v>0</v>
      </c>
      <c r="AD207" s="113">
        <f t="shared" si="308"/>
        <v>0</v>
      </c>
      <c r="AE207" s="111">
        <f t="shared" si="328"/>
        <v>0</v>
      </c>
      <c r="AF207" s="113">
        <f t="shared" si="309"/>
        <v>0</v>
      </c>
      <c r="AG207" s="113">
        <f t="shared" si="310"/>
        <v>0</v>
      </c>
      <c r="AH207" s="114">
        <f t="shared" si="241"/>
        <v>9.5300000000000011</v>
      </c>
      <c r="AI207" s="102" t="str">
        <f t="shared" si="311"/>
        <v>X:8</v>
      </c>
      <c r="AJ207" s="102" t="str">
        <f t="shared" si="312"/>
        <v>NV10143790</v>
      </c>
      <c r="AK207" s="102" t="str">
        <f>IF(OR(J207&lt;D207,J207&gt;F207),"",
IFERROR(INDEX('3. Đơn xin nghỉ'!$K:$K,MATCH('4. Tổng hợp dữ liệu'!AJ207,'3. Đơn xin nghỉ'!$I:$I,0),1),
IF(AND(AU207="Không CC",I207&lt;&gt;1),"Ro:8","")))</f>
        <v/>
      </c>
      <c r="AL207" s="102" t="str">
        <f t="shared" si="313"/>
        <v/>
      </c>
      <c r="AM207" s="102" t="str">
        <f t="shared" si="332"/>
        <v>X:8</v>
      </c>
      <c r="AN207" s="102" t="s">
        <v>92</v>
      </c>
      <c r="AO207" s="102"/>
      <c r="AP207" s="115">
        <f>IFERROR(VLOOKUP(AN207,'Quy đổi công'!A:D,3,0),0)</f>
        <v>1</v>
      </c>
      <c r="AQ207" s="115">
        <f>IFERROR(VLOOKUP(AN207,'Quy đổi công'!A:D,4,0),0)</f>
        <v>0</v>
      </c>
      <c r="AR207" s="115">
        <f t="shared" si="314"/>
        <v>0</v>
      </c>
      <c r="AS207" s="115">
        <f t="shared" si="333"/>
        <v>1</v>
      </c>
      <c r="AT207" s="115">
        <f t="shared" si="329"/>
        <v>0</v>
      </c>
      <c r="AU207" s="102" t="str">
        <f t="shared" si="315"/>
        <v/>
      </c>
      <c r="AV207" s="102" t="str">
        <f t="shared" si="316"/>
        <v/>
      </c>
      <c r="AW207" s="102" t="str">
        <f t="shared" si="317"/>
        <v/>
      </c>
      <c r="AX207" s="102" t="str">
        <f t="shared" si="318"/>
        <v/>
      </c>
      <c r="AY207" s="102" t="str">
        <f t="shared" si="319"/>
        <v/>
      </c>
      <c r="AZ207" s="102"/>
      <c r="BA207" s="102">
        <f>IF(AV207&lt;&gt;0,COUNTIFS($A$7:A207,A207,$AV$7:AV207,"Quên check in"))
+IF(AW207&lt;&gt;0,COUNTIFS($A$7:A207,A207,$AW$7:AW207,"Quên check in"))
+IF(AX207&lt;&gt;0,COUNTIFS($A$7:A207,A207,$AX$7:AX207,"Quên check out"))
+IF(AY207&lt;&gt;0,COUNTIFS($A$7:A207,A207,$AY$7:AY207,"Quên check out"))</f>
        <v>0</v>
      </c>
      <c r="BB207" s="143">
        <f t="shared" si="320"/>
        <v>0</v>
      </c>
    </row>
    <row r="208" spans="1:54" s="83" customFormat="1" ht="14.1" customHeight="1" x14ac:dyDescent="0.3">
      <c r="A208" s="103" t="s">
        <v>5</v>
      </c>
      <c r="B208" s="104" t="s">
        <v>28</v>
      </c>
      <c r="C208" s="105">
        <v>10000000</v>
      </c>
      <c r="D208" s="106">
        <v>43409</v>
      </c>
      <c r="E208" s="107">
        <v>43678</v>
      </c>
      <c r="F208" s="107">
        <v>73415</v>
      </c>
      <c r="G208" s="105">
        <v>26</v>
      </c>
      <c r="H208" s="105">
        <f t="shared" si="330"/>
        <v>5</v>
      </c>
      <c r="I208" s="105"/>
      <c r="J208" s="108">
        <v>43790</v>
      </c>
      <c r="K208" s="108" t="str">
        <f t="shared" si="321"/>
        <v>NV10743790VàoSáng</v>
      </c>
      <c r="L208" s="102" t="str">
        <f>IFERROR(VLOOKUP(K208,'1. Vân tay'!$F:$G,2,0),0)</f>
        <v>08:03:48</v>
      </c>
      <c r="M208" s="108" t="str">
        <f t="shared" si="322"/>
        <v>NV10743790RaSáng</v>
      </c>
      <c r="N208" s="102">
        <f>IFERROR(VLOOKUP(M208,'1. Vân tay'!$F:$G,2,0),0)</f>
        <v>0</v>
      </c>
      <c r="O208" s="108" t="str">
        <f t="shared" si="323"/>
        <v>NV10743790VàoChiều</v>
      </c>
      <c r="P208" s="102">
        <f>IFERROR(VLOOKUP(O208,'1. Vân tay'!$F:$G,2,0),0)</f>
        <v>0</v>
      </c>
      <c r="Q208" s="108" t="str">
        <f t="shared" si="324"/>
        <v>NV10743790RaChiều</v>
      </c>
      <c r="R208" s="102" t="str">
        <f>IFERROR(VLOOKUP(Q208,'1. Vân tay'!$F:$G,2,0),0)</f>
        <v>17:46:48</v>
      </c>
      <c r="S208" s="102">
        <f t="shared" si="331"/>
        <v>0</v>
      </c>
      <c r="T208" s="109">
        <v>0.33333333333333331</v>
      </c>
      <c r="U208" s="109">
        <v>0.5</v>
      </c>
      <c r="V208" s="109">
        <v>0.5625</v>
      </c>
      <c r="W208" s="109">
        <v>0.72916666666666663</v>
      </c>
      <c r="X208" s="102">
        <f>HDSD!$F$4</f>
        <v>5</v>
      </c>
      <c r="Y208" s="102">
        <f>SUMIFS('2. Đi muộn về sớm'!$K:$K,
'2. Đi muộn về sớm'!$B:$B,$A208,
'2. Đi muộn về sớm'!$D:$D,$J208)</f>
        <v>0</v>
      </c>
      <c r="Z208" s="110">
        <f t="shared" si="325"/>
        <v>3.8</v>
      </c>
      <c r="AA208" s="110">
        <f t="shared" si="326"/>
        <v>0</v>
      </c>
      <c r="AB208" s="111">
        <f t="shared" si="327"/>
        <v>3.8</v>
      </c>
      <c r="AC208" s="112">
        <f t="shared" si="307"/>
        <v>0</v>
      </c>
      <c r="AD208" s="113">
        <f t="shared" si="308"/>
        <v>0</v>
      </c>
      <c r="AE208" s="111">
        <f t="shared" si="328"/>
        <v>0</v>
      </c>
      <c r="AF208" s="113">
        <f t="shared" si="309"/>
        <v>0</v>
      </c>
      <c r="AG208" s="113">
        <f t="shared" si="310"/>
        <v>0</v>
      </c>
      <c r="AH208" s="114">
        <f t="shared" si="241"/>
        <v>9.7166666666666668</v>
      </c>
      <c r="AI208" s="102" t="str">
        <f t="shared" si="311"/>
        <v>X:8</v>
      </c>
      <c r="AJ208" s="102" t="str">
        <f t="shared" si="312"/>
        <v>NV10743790</v>
      </c>
      <c r="AK208" s="102" t="str">
        <f>IF(OR(J208&lt;D208,J208&gt;F208),"",
IFERROR(INDEX('3. Đơn xin nghỉ'!$K:$K,MATCH('4. Tổng hợp dữ liệu'!AJ208,'3. Đơn xin nghỉ'!$I:$I,0),1),
IF(AND(AU208="Không CC",I208&lt;&gt;1),"Ro:8","")))</f>
        <v/>
      </c>
      <c r="AL208" s="102" t="str">
        <f t="shared" si="313"/>
        <v/>
      </c>
      <c r="AM208" s="102" t="str">
        <f t="shared" si="332"/>
        <v>X:8</v>
      </c>
      <c r="AN208" s="102" t="s">
        <v>92</v>
      </c>
      <c r="AO208" s="102"/>
      <c r="AP208" s="115">
        <f>IFERROR(VLOOKUP(AN208,'Quy đổi công'!A:D,3,0),0)</f>
        <v>1</v>
      </c>
      <c r="AQ208" s="115">
        <f>IFERROR(VLOOKUP(AN208,'Quy đổi công'!A:D,4,0),0)</f>
        <v>0</v>
      </c>
      <c r="AR208" s="115">
        <f t="shared" si="314"/>
        <v>0</v>
      </c>
      <c r="AS208" s="115">
        <f t="shared" si="333"/>
        <v>1</v>
      </c>
      <c r="AT208" s="115">
        <f t="shared" si="329"/>
        <v>0</v>
      </c>
      <c r="AU208" s="102" t="str">
        <f t="shared" si="315"/>
        <v/>
      </c>
      <c r="AV208" s="102" t="str">
        <f t="shared" si="316"/>
        <v/>
      </c>
      <c r="AW208" s="102" t="str">
        <f t="shared" si="317"/>
        <v/>
      </c>
      <c r="AX208" s="102" t="str">
        <f t="shared" si="318"/>
        <v/>
      </c>
      <c r="AY208" s="102" t="str">
        <f t="shared" si="319"/>
        <v/>
      </c>
      <c r="AZ208" s="102"/>
      <c r="BA208" s="102">
        <f>IF(AV208&lt;&gt;0,COUNTIFS($A$7:A208,A208,$AV$7:AV208,"Quên check in"))
+IF(AW208&lt;&gt;0,COUNTIFS($A$7:A208,A208,$AW$7:AW208,"Quên check in"))
+IF(AX208&lt;&gt;0,COUNTIFS($A$7:A208,A208,$AX$7:AX208,"Quên check out"))
+IF(AY208&lt;&gt;0,COUNTIFS($A$7:A208,A208,$AY$7:AY208,"Quên check out"))</f>
        <v>4</v>
      </c>
      <c r="BB208" s="143">
        <f t="shared" si="320"/>
        <v>50000</v>
      </c>
    </row>
    <row r="209" spans="1:54" s="83" customFormat="1" ht="14.1" customHeight="1" x14ac:dyDescent="0.3">
      <c r="A209" s="103" t="s">
        <v>6</v>
      </c>
      <c r="B209" s="104" t="s">
        <v>15</v>
      </c>
      <c r="C209" s="105">
        <v>4700000</v>
      </c>
      <c r="D209" s="106">
        <v>43409</v>
      </c>
      <c r="E209" s="107">
        <v>43617</v>
      </c>
      <c r="F209" s="107">
        <v>73415</v>
      </c>
      <c r="G209" s="105">
        <v>26</v>
      </c>
      <c r="H209" s="105">
        <f t="shared" si="330"/>
        <v>5</v>
      </c>
      <c r="I209" s="105"/>
      <c r="J209" s="108">
        <v>43790</v>
      </c>
      <c r="K209" s="108" t="str">
        <f t="shared" si="321"/>
        <v>NV10843790VàoSáng</v>
      </c>
      <c r="L209" s="102" t="str">
        <f>IFERROR(VLOOKUP(K209,'1. Vân tay'!$F:$G,2,0),0)</f>
        <v>08:53:34</v>
      </c>
      <c r="M209" s="108" t="str">
        <f t="shared" si="322"/>
        <v>NV10843790RaSáng</v>
      </c>
      <c r="N209" s="102">
        <f>IFERROR(VLOOKUP(M209,'1. Vân tay'!$F:$G,2,0),0)</f>
        <v>0</v>
      </c>
      <c r="O209" s="108" t="str">
        <f t="shared" si="323"/>
        <v>NV10843790VàoChiều</v>
      </c>
      <c r="P209" s="102">
        <f>IFERROR(VLOOKUP(O209,'1. Vân tay'!$F:$G,2,0),0)</f>
        <v>0</v>
      </c>
      <c r="Q209" s="108" t="str">
        <f t="shared" si="324"/>
        <v>NV10843790RaChiều</v>
      </c>
      <c r="R209" s="102" t="str">
        <f>IFERROR(VLOOKUP(Q209,'1. Vân tay'!$F:$G,2,0),0)</f>
        <v>17:38:13</v>
      </c>
      <c r="S209" s="102">
        <f t="shared" si="331"/>
        <v>0</v>
      </c>
      <c r="T209" s="109">
        <v>0.33333333333333331</v>
      </c>
      <c r="U209" s="109">
        <v>0.5</v>
      </c>
      <c r="V209" s="109">
        <v>0.5625</v>
      </c>
      <c r="W209" s="109">
        <v>0.72916666666666663</v>
      </c>
      <c r="X209" s="102">
        <f>HDSD!$F$4</f>
        <v>5</v>
      </c>
      <c r="Y209" s="102">
        <f>SUMIFS('2. Đi muộn về sớm'!$K:$K,
'2. Đi muộn về sớm'!$B:$B,$A209,
'2. Đi muộn về sớm'!$D:$D,$J209)</f>
        <v>0</v>
      </c>
      <c r="Z209" s="110">
        <f t="shared" si="325"/>
        <v>53.56666666666667</v>
      </c>
      <c r="AA209" s="110">
        <f t="shared" si="326"/>
        <v>0</v>
      </c>
      <c r="AB209" s="111">
        <f t="shared" si="327"/>
        <v>53.56666666666667</v>
      </c>
      <c r="AC209" s="112">
        <f t="shared" si="307"/>
        <v>48.56666666666667</v>
      </c>
      <c r="AD209" s="113">
        <f t="shared" si="308"/>
        <v>97133.333333333343</v>
      </c>
      <c r="AE209" s="111">
        <f t="shared" si="328"/>
        <v>0</v>
      </c>
      <c r="AF209" s="113">
        <f t="shared" si="309"/>
        <v>0</v>
      </c>
      <c r="AG209" s="113">
        <f t="shared" si="310"/>
        <v>97133.333333333343</v>
      </c>
      <c r="AH209" s="114">
        <f t="shared" si="241"/>
        <v>8.7441666666666666</v>
      </c>
      <c r="AI209" s="102" t="str">
        <f t="shared" si="311"/>
        <v>X:8</v>
      </c>
      <c r="AJ209" s="102" t="str">
        <f t="shared" si="312"/>
        <v>NV10843790</v>
      </c>
      <c r="AK209" s="102" t="str">
        <f>IF(OR(J209&lt;D209,J209&gt;F209),"",
IFERROR(INDEX('3. Đơn xin nghỉ'!$K:$K,MATCH('4. Tổng hợp dữ liệu'!AJ209,'3. Đơn xin nghỉ'!$I:$I,0),1),
IF(AND(AU209="Không CC",I209&lt;&gt;1),"Ro:8","")))</f>
        <v/>
      </c>
      <c r="AL209" s="102" t="str">
        <f t="shared" si="313"/>
        <v/>
      </c>
      <c r="AM209" s="102" t="str">
        <f t="shared" si="332"/>
        <v>X:8</v>
      </c>
      <c r="AN209" s="102" t="s">
        <v>92</v>
      </c>
      <c r="AO209" s="102"/>
      <c r="AP209" s="115">
        <f>IFERROR(VLOOKUP(AN209,'Quy đổi công'!A:D,3,0),0)</f>
        <v>1</v>
      </c>
      <c r="AQ209" s="115">
        <f>IFERROR(VLOOKUP(AN209,'Quy đổi công'!A:D,4,0),0)</f>
        <v>0</v>
      </c>
      <c r="AR209" s="115">
        <f t="shared" si="314"/>
        <v>0</v>
      </c>
      <c r="AS209" s="115">
        <f t="shared" si="333"/>
        <v>1</v>
      </c>
      <c r="AT209" s="115">
        <f t="shared" si="329"/>
        <v>0</v>
      </c>
      <c r="AU209" s="102" t="str">
        <f t="shared" si="315"/>
        <v/>
      </c>
      <c r="AV209" s="102" t="str">
        <f t="shared" si="316"/>
        <v/>
      </c>
      <c r="AW209" s="102" t="str">
        <f t="shared" si="317"/>
        <v/>
      </c>
      <c r="AX209" s="102" t="str">
        <f t="shared" si="318"/>
        <v/>
      </c>
      <c r="AY209" s="102" t="str">
        <f t="shared" si="319"/>
        <v/>
      </c>
      <c r="AZ209" s="102"/>
      <c r="BA209" s="102">
        <f>IF(AV209&lt;&gt;0,COUNTIFS($A$7:A209,A209,$AV$7:AV209,"Quên check in"))
+IF(AW209&lt;&gt;0,COUNTIFS($A$7:A209,A209,$AW$7:AW209,"Quên check in"))
+IF(AX209&lt;&gt;0,COUNTIFS($A$7:A209,A209,$AX$7:AX209,"Quên check out"))
+IF(AY209&lt;&gt;0,COUNTIFS($A$7:A209,A209,$AY$7:AY209,"Quên check out"))</f>
        <v>0</v>
      </c>
      <c r="BB209" s="143">
        <f t="shared" si="320"/>
        <v>0</v>
      </c>
    </row>
    <row r="210" spans="1:54" s="83" customFormat="1" ht="14.1" customHeight="1" x14ac:dyDescent="0.3">
      <c r="A210" s="103" t="s">
        <v>7</v>
      </c>
      <c r="B210" s="104" t="s">
        <v>16</v>
      </c>
      <c r="C210" s="105">
        <v>5000000</v>
      </c>
      <c r="D210" s="106">
        <v>43416</v>
      </c>
      <c r="E210" s="107">
        <v>43617</v>
      </c>
      <c r="F210" s="107">
        <v>73415</v>
      </c>
      <c r="G210" s="105">
        <v>26</v>
      </c>
      <c r="H210" s="105">
        <f t="shared" si="330"/>
        <v>5</v>
      </c>
      <c r="I210" s="105"/>
      <c r="J210" s="108">
        <v>43790</v>
      </c>
      <c r="K210" s="108" t="str">
        <f t="shared" si="321"/>
        <v>NV10943790VàoSáng</v>
      </c>
      <c r="L210" s="102" t="str">
        <f>IFERROR(VLOOKUP(K210,'1. Vân tay'!$F:$G,2,0),0)</f>
        <v>07:54:50</v>
      </c>
      <c r="M210" s="108" t="str">
        <f t="shared" si="322"/>
        <v>NV10943790RaSáng</v>
      </c>
      <c r="N210" s="102">
        <f>IFERROR(VLOOKUP(M210,'1. Vân tay'!$F:$G,2,0),0)</f>
        <v>0</v>
      </c>
      <c r="O210" s="108" t="str">
        <f t="shared" si="323"/>
        <v>NV10943790VàoChiều</v>
      </c>
      <c r="P210" s="102">
        <f>IFERROR(VLOOKUP(O210,'1. Vân tay'!$F:$G,2,0),0)</f>
        <v>0</v>
      </c>
      <c r="Q210" s="108" t="str">
        <f t="shared" si="324"/>
        <v>NV10943790RaChiều</v>
      </c>
      <c r="R210" s="102" t="str">
        <f>IFERROR(VLOOKUP(Q210,'1. Vân tay'!$F:$G,2,0),0)</f>
        <v>17:32:05</v>
      </c>
      <c r="S210" s="102">
        <f t="shared" si="331"/>
        <v>0</v>
      </c>
      <c r="T210" s="109">
        <v>0.33333333333333331</v>
      </c>
      <c r="U210" s="109">
        <v>0.5</v>
      </c>
      <c r="V210" s="109">
        <v>0.5625</v>
      </c>
      <c r="W210" s="109">
        <v>0.72916666666666663</v>
      </c>
      <c r="X210" s="102">
        <f>HDSD!$F$4</f>
        <v>5</v>
      </c>
      <c r="Y210" s="102">
        <f>SUMIFS('2. Đi muộn về sớm'!$K:$K,
'2. Đi muộn về sớm'!$B:$B,$A210,
'2. Đi muộn về sớm'!$D:$D,$J210)</f>
        <v>0</v>
      </c>
      <c r="Z210" s="110">
        <f t="shared" si="325"/>
        <v>0</v>
      </c>
      <c r="AA210" s="110">
        <f t="shared" si="326"/>
        <v>0</v>
      </c>
      <c r="AB210" s="111">
        <f t="shared" si="327"/>
        <v>0</v>
      </c>
      <c r="AC210" s="112">
        <f t="shared" si="307"/>
        <v>0</v>
      </c>
      <c r="AD210" s="113">
        <f t="shared" si="308"/>
        <v>0</v>
      </c>
      <c r="AE210" s="111">
        <f t="shared" si="328"/>
        <v>0</v>
      </c>
      <c r="AF210" s="113">
        <f t="shared" si="309"/>
        <v>0</v>
      </c>
      <c r="AG210" s="113">
        <f t="shared" si="310"/>
        <v>0</v>
      </c>
      <c r="AH210" s="114">
        <f t="shared" si="241"/>
        <v>9.6208333333333336</v>
      </c>
      <c r="AI210" s="102" t="str">
        <f t="shared" si="311"/>
        <v>X:8</v>
      </c>
      <c r="AJ210" s="102" t="str">
        <f t="shared" si="312"/>
        <v>NV10943790</v>
      </c>
      <c r="AK210" s="102" t="str">
        <f>IF(OR(J210&lt;D210,J210&gt;F210),"",
IFERROR(INDEX('3. Đơn xin nghỉ'!$K:$K,MATCH('4. Tổng hợp dữ liệu'!AJ210,'3. Đơn xin nghỉ'!$I:$I,0),1),
IF(AND(AU210="Không CC",I210&lt;&gt;1),"Ro:8","")))</f>
        <v/>
      </c>
      <c r="AL210" s="102" t="str">
        <f t="shared" si="313"/>
        <v/>
      </c>
      <c r="AM210" s="102" t="str">
        <f t="shared" si="332"/>
        <v>X:8</v>
      </c>
      <c r="AN210" s="102" t="s">
        <v>92</v>
      </c>
      <c r="AO210" s="102"/>
      <c r="AP210" s="115">
        <f>IFERROR(VLOOKUP(AN210,'Quy đổi công'!A:D,3,0),0)</f>
        <v>1</v>
      </c>
      <c r="AQ210" s="115">
        <f>IFERROR(VLOOKUP(AN210,'Quy đổi công'!A:D,4,0),0)</f>
        <v>0</v>
      </c>
      <c r="AR210" s="115">
        <f t="shared" si="314"/>
        <v>0</v>
      </c>
      <c r="AS210" s="115">
        <f t="shared" si="333"/>
        <v>1</v>
      </c>
      <c r="AT210" s="115">
        <f t="shared" si="329"/>
        <v>0</v>
      </c>
      <c r="AU210" s="102" t="str">
        <f t="shared" si="315"/>
        <v/>
      </c>
      <c r="AV210" s="102" t="str">
        <f t="shared" si="316"/>
        <v/>
      </c>
      <c r="AW210" s="102" t="str">
        <f t="shared" si="317"/>
        <v/>
      </c>
      <c r="AX210" s="102" t="str">
        <f t="shared" si="318"/>
        <v/>
      </c>
      <c r="AY210" s="102" t="str">
        <f t="shared" si="319"/>
        <v/>
      </c>
      <c r="AZ210" s="102"/>
      <c r="BA210" s="102">
        <f>IF(AV210&lt;&gt;0,COUNTIFS($A$7:A210,A210,$AV$7:AV210,"Quên check in"))
+IF(AW210&lt;&gt;0,COUNTIFS($A$7:A210,A210,$AW$7:AW210,"Quên check in"))
+IF(AX210&lt;&gt;0,COUNTIFS($A$7:A210,A210,$AX$7:AX210,"Quên check out"))
+IF(AY210&lt;&gt;0,COUNTIFS($A$7:A210,A210,$AY$7:AY210,"Quên check out"))</f>
        <v>0</v>
      </c>
      <c r="BB210" s="143">
        <f t="shared" si="320"/>
        <v>0</v>
      </c>
    </row>
    <row r="211" spans="1:54" s="83" customFormat="1" ht="14.1" customHeight="1" x14ac:dyDescent="0.3">
      <c r="A211" s="103" t="s">
        <v>8</v>
      </c>
      <c r="B211" s="104" t="s">
        <v>17</v>
      </c>
      <c r="C211" s="105">
        <v>5000000</v>
      </c>
      <c r="D211" s="106">
        <v>43423</v>
      </c>
      <c r="E211" s="107">
        <v>43617</v>
      </c>
      <c r="F211" s="107">
        <v>73415</v>
      </c>
      <c r="G211" s="105">
        <v>26</v>
      </c>
      <c r="H211" s="105">
        <f t="shared" si="330"/>
        <v>5</v>
      </c>
      <c r="I211" s="105"/>
      <c r="J211" s="108">
        <v>43790</v>
      </c>
      <c r="K211" s="108" t="str">
        <f t="shared" ref="K211:K217" si="334">$A211&amp;$J211&amp;"Vào"&amp;"Sáng"</f>
        <v>NV11343790VàoSáng</v>
      </c>
      <c r="L211" s="102" t="str">
        <f>IFERROR(VLOOKUP(K211,'1. Vân tay'!$F:$G,2,0),0)</f>
        <v>07:49:52</v>
      </c>
      <c r="M211" s="108" t="str">
        <f t="shared" ref="M211:M217" si="335">$A211&amp;$J211&amp;"Ra"&amp;"Sáng"</f>
        <v>NV11343790RaSáng</v>
      </c>
      <c r="N211" s="102">
        <f>IFERROR(VLOOKUP(M211,'1. Vân tay'!$F:$G,2,0),0)</f>
        <v>0</v>
      </c>
      <c r="O211" s="108" t="str">
        <f t="shared" ref="O211:O217" si="336">$A211&amp;$J211&amp;"Vào"&amp;"Chiều"</f>
        <v>NV11343790VàoChiều</v>
      </c>
      <c r="P211" s="102">
        <f>IFERROR(VLOOKUP(O211,'1. Vân tay'!$F:$G,2,0),0)</f>
        <v>0</v>
      </c>
      <c r="Q211" s="108" t="str">
        <f t="shared" ref="Q211:Q217" si="337">$A211&amp;$J211&amp;"Ra"&amp;"Chiều"</f>
        <v>NV11343790RaChiều</v>
      </c>
      <c r="R211" s="102" t="str">
        <f>IFERROR(VLOOKUP(Q211,'1. Vân tay'!$F:$G,2,0),0)</f>
        <v>17:38:59</v>
      </c>
      <c r="S211" s="102">
        <f t="shared" si="331"/>
        <v>0</v>
      </c>
      <c r="T211" s="109">
        <v>0.33333333333333331</v>
      </c>
      <c r="U211" s="109">
        <v>0.5</v>
      </c>
      <c r="V211" s="109">
        <v>0.5625</v>
      </c>
      <c r="W211" s="109">
        <v>0.72916666666666663</v>
      </c>
      <c r="X211" s="102">
        <f>HDSD!$F$4</f>
        <v>5</v>
      </c>
      <c r="Y211" s="102">
        <f>SUMIFS('2. Đi muộn về sớm'!$K:$K,
'2. Đi muộn về sớm'!$B:$B,$A211,
'2. Đi muộn về sớm'!$D:$D,$J211)</f>
        <v>0</v>
      </c>
      <c r="Z211" s="110">
        <f t="shared" ref="Z211:Z217" si="338">IF(L211=0,0,IFERROR((HOUR(L211-T211)*60+MINUTE(L211-T211)+SECOND(L211-T211)/60),0))
+IF(N211=0,0, IFERROR((HOUR(U211-N211)*60+MINUTE(U211-N211)+SECOND(U211-N211)/60),0))
+IF(P211=0,0, IFERROR((HOUR(P211-V211)*60+MINUTE(P211-V211)+SECOND(P211-V211)/60),0))
+IF(R211=0,0, IFERROR((HOUR(W211-R211)*60+MINUTE(W211-R211)+SECOND(W211-R211)/60),0))</f>
        <v>0</v>
      </c>
      <c r="AA211" s="110">
        <f t="shared" ref="AA211:AA217" si="339">IF(L211=0,0,IFERROR((HOUR(L211-"09:00:00")*60+MINUTE(L211-"09:00:00")+SECOND(L211-"09:00:00")/60),0))
+IF(N211=0,0, IFERROR((HOUR(U211-N211)*60+MINUTE(U211-N211)+SECOND(U211-N211)/60),0))
+IF(P211=0,0, IFERROR((HOUR(P211-V211)*60+MINUTE(P211-V211)+SECOND(P211-V211)/60),0))
+IF(R211=0,0, IFERROR((HOUR("16:30:00"-R211)*60+MINUTE("16:30:00"-R211)+SECOND("16:30:00"-R211)/60),0))</f>
        <v>0</v>
      </c>
      <c r="AB211" s="111">
        <f t="shared" ref="AB211:AB217" si="340">Z211-AA211</f>
        <v>0</v>
      </c>
      <c r="AC211" s="112">
        <f t="shared" si="307"/>
        <v>0</v>
      </c>
      <c r="AD211" s="113">
        <f t="shared" si="308"/>
        <v>0</v>
      </c>
      <c r="AE211" s="111">
        <f t="shared" ref="AE211:AE217" si="341">AA211/60/8</f>
        <v>0</v>
      </c>
      <c r="AF211" s="113">
        <f t="shared" si="309"/>
        <v>0</v>
      </c>
      <c r="AG211" s="113">
        <f t="shared" si="310"/>
        <v>0</v>
      </c>
      <c r="AH211" s="114">
        <f t="shared" si="241"/>
        <v>9.8186111111111103</v>
      </c>
      <c r="AI211" s="102" t="str">
        <f t="shared" si="311"/>
        <v>X:8</v>
      </c>
      <c r="AJ211" s="102" t="str">
        <f t="shared" si="312"/>
        <v>NV11343790</v>
      </c>
      <c r="AK211" s="102" t="str">
        <f>IF(OR(J211&lt;D211,J211&gt;F211),"",
IFERROR(INDEX('3. Đơn xin nghỉ'!$K:$K,MATCH('4. Tổng hợp dữ liệu'!AJ211,'3. Đơn xin nghỉ'!$I:$I,0),1),
IF(AND(AU211="Không CC",I211&lt;&gt;1),"Ro:8","")))</f>
        <v/>
      </c>
      <c r="AL211" s="102" t="str">
        <f t="shared" si="313"/>
        <v/>
      </c>
      <c r="AM211" s="102" t="str">
        <f t="shared" si="332"/>
        <v>X:8</v>
      </c>
      <c r="AN211" s="102" t="s">
        <v>92</v>
      </c>
      <c r="AO211" s="102"/>
      <c r="AP211" s="115">
        <f>IFERROR(VLOOKUP(AN211,'Quy đổi công'!A:D,3,0),0)</f>
        <v>1</v>
      </c>
      <c r="AQ211" s="115">
        <f>IFERROR(VLOOKUP(AN211,'Quy đổi công'!A:D,4,0),0)</f>
        <v>0</v>
      </c>
      <c r="AR211" s="115">
        <f t="shared" si="314"/>
        <v>0</v>
      </c>
      <c r="AS211" s="115">
        <f t="shared" si="333"/>
        <v>1</v>
      </c>
      <c r="AT211" s="115">
        <f t="shared" ref="AT211:AT217" si="342">IF(AN211="P8",1)
+IF(OR(AN211="X:4,P:4",AN211="P:4,Rv:4",AN211="P:4,Ro:4"),1/2)</f>
        <v>0</v>
      </c>
      <c r="AU211" s="102" t="str">
        <f t="shared" si="315"/>
        <v/>
      </c>
      <c r="AV211" s="102" t="str">
        <f t="shared" si="316"/>
        <v/>
      </c>
      <c r="AW211" s="102" t="str">
        <f t="shared" si="317"/>
        <v/>
      </c>
      <c r="AX211" s="102" t="str">
        <f t="shared" si="318"/>
        <v/>
      </c>
      <c r="AY211" s="102" t="str">
        <f t="shared" si="319"/>
        <v/>
      </c>
      <c r="AZ211" s="102"/>
      <c r="BA211" s="102">
        <f>IF(AV211&lt;&gt;0,COUNTIFS($A$7:A211,A211,$AV$7:AV211,"Quên check in"))
+IF(AW211&lt;&gt;0,COUNTIFS($A$7:A211,A211,$AW$7:AW211,"Quên check in"))
+IF(AX211&lt;&gt;0,COUNTIFS($A$7:A211,A211,$AX$7:AX211,"Quên check out"))
+IF(AY211&lt;&gt;0,COUNTIFS($A$7:A211,A211,$AY$7:AY211,"Quên check out"))</f>
        <v>1</v>
      </c>
      <c r="BB211" s="143">
        <f t="shared" si="320"/>
        <v>0</v>
      </c>
    </row>
    <row r="212" spans="1:54" s="83" customFormat="1" ht="14.1" customHeight="1" x14ac:dyDescent="0.3">
      <c r="A212" s="103" t="s">
        <v>9</v>
      </c>
      <c r="B212" s="104" t="s">
        <v>18</v>
      </c>
      <c r="C212" s="105">
        <v>4900000</v>
      </c>
      <c r="D212" s="106">
        <v>43437</v>
      </c>
      <c r="E212" s="107">
        <v>43617</v>
      </c>
      <c r="F212" s="107">
        <v>73415</v>
      </c>
      <c r="G212" s="105">
        <v>26</v>
      </c>
      <c r="H212" s="105">
        <f t="shared" ref="H212:H218" si="343">WEEKDAY(J212,1)</f>
        <v>5</v>
      </c>
      <c r="I212" s="105"/>
      <c r="J212" s="108">
        <v>43790</v>
      </c>
      <c r="K212" s="108" t="str">
        <f t="shared" si="334"/>
        <v>NV11443790VàoSáng</v>
      </c>
      <c r="L212" s="102" t="str">
        <f>IFERROR(VLOOKUP(K212,'1. Vân tay'!$F:$G,2,0),0)</f>
        <v>07:57:50</v>
      </c>
      <c r="M212" s="108" t="str">
        <f t="shared" si="335"/>
        <v>NV11443790RaSáng</v>
      </c>
      <c r="N212" s="102">
        <f>IFERROR(VLOOKUP(M212,'1. Vân tay'!$F:$G,2,0),0)</f>
        <v>0</v>
      </c>
      <c r="O212" s="108" t="str">
        <f t="shared" si="336"/>
        <v>NV11443790VàoChiều</v>
      </c>
      <c r="P212" s="102">
        <f>IFERROR(VLOOKUP(O212,'1. Vân tay'!$F:$G,2,0),0)</f>
        <v>0</v>
      </c>
      <c r="Q212" s="108" t="str">
        <f t="shared" si="337"/>
        <v>NV11443790RaChiều</v>
      </c>
      <c r="R212" s="102" t="str">
        <f>IFERROR(VLOOKUP(Q212,'1. Vân tay'!$F:$G,2,0),0)</f>
        <v>17:32:14</v>
      </c>
      <c r="S212" s="102">
        <f t="shared" ref="S212:S218" si="344">IF(OR(
(AND(L212&lt;&gt;0,P212&lt;&gt;0)),
(AND(N212&lt;&gt;0,R212&lt;&gt;0))),"Kiểm tra",0)</f>
        <v>0</v>
      </c>
      <c r="T212" s="109">
        <v>0.33333333333333331</v>
      </c>
      <c r="U212" s="109">
        <v>0.5</v>
      </c>
      <c r="V212" s="109">
        <v>0.5625</v>
      </c>
      <c r="W212" s="109">
        <v>0.72916666666666663</v>
      </c>
      <c r="X212" s="102">
        <f>HDSD!$F$4</f>
        <v>5</v>
      </c>
      <c r="Y212" s="102">
        <f>SUMIFS('2. Đi muộn về sớm'!$K:$K,
'2. Đi muộn về sớm'!$B:$B,$A212,
'2. Đi muộn về sớm'!$D:$D,$J212)</f>
        <v>0</v>
      </c>
      <c r="Z212" s="110">
        <f t="shared" si="338"/>
        <v>0</v>
      </c>
      <c r="AA212" s="110">
        <f t="shared" si="339"/>
        <v>0</v>
      </c>
      <c r="AB212" s="111">
        <f t="shared" si="340"/>
        <v>0</v>
      </c>
      <c r="AC212" s="112">
        <f t="shared" si="307"/>
        <v>0</v>
      </c>
      <c r="AD212" s="113">
        <f t="shared" si="308"/>
        <v>0</v>
      </c>
      <c r="AE212" s="111">
        <f t="shared" si="341"/>
        <v>0</v>
      </c>
      <c r="AF212" s="113">
        <f t="shared" si="309"/>
        <v>0</v>
      </c>
      <c r="AG212" s="113">
        <f t="shared" si="310"/>
        <v>0</v>
      </c>
      <c r="AH212" s="114">
        <f t="shared" si="241"/>
        <v>9.5733333333333324</v>
      </c>
      <c r="AI212" s="102" t="str">
        <f t="shared" si="311"/>
        <v>X:8</v>
      </c>
      <c r="AJ212" s="102" t="str">
        <f t="shared" si="312"/>
        <v>NV11443790</v>
      </c>
      <c r="AK212" s="102" t="str">
        <f>IF(OR(J212&lt;D212,J212&gt;F212),"",
IFERROR(INDEX('3. Đơn xin nghỉ'!$K:$K,MATCH('4. Tổng hợp dữ liệu'!AJ212,'3. Đơn xin nghỉ'!$I:$I,0),1),
IF(AND(AU212="Không CC",I212&lt;&gt;1),"Ro:8","")))</f>
        <v/>
      </c>
      <c r="AL212" s="102" t="str">
        <f t="shared" si="313"/>
        <v/>
      </c>
      <c r="AM212" s="102" t="str">
        <f t="shared" ref="AM212:AM218" si="345">IF(OR(AI212="",AK212=""),AI212&amp;AK212,AI212&amp;","&amp;AK212)&amp;AL212</f>
        <v>X:8</v>
      </c>
      <c r="AN212" s="102" t="s">
        <v>92</v>
      </c>
      <c r="AO212" s="102"/>
      <c r="AP212" s="115">
        <f>IFERROR(VLOOKUP(AN212,'Quy đổi công'!A:D,3,0),0)</f>
        <v>1</v>
      </c>
      <c r="AQ212" s="115">
        <f>IFERROR(VLOOKUP(AN212,'Quy đổi công'!A:D,4,0),0)</f>
        <v>0</v>
      </c>
      <c r="AR212" s="115">
        <f t="shared" si="314"/>
        <v>0</v>
      </c>
      <c r="AS212" s="115">
        <f t="shared" ref="AS212:AS218" si="346">AP212-AR212</f>
        <v>1</v>
      </c>
      <c r="AT212" s="115">
        <f t="shared" si="342"/>
        <v>0</v>
      </c>
      <c r="AU212" s="102" t="str">
        <f t="shared" si="315"/>
        <v/>
      </c>
      <c r="AV212" s="102" t="str">
        <f t="shared" si="316"/>
        <v/>
      </c>
      <c r="AW212" s="102" t="str">
        <f t="shared" si="317"/>
        <v/>
      </c>
      <c r="AX212" s="102" t="str">
        <f t="shared" si="318"/>
        <v/>
      </c>
      <c r="AY212" s="102" t="str">
        <f t="shared" si="319"/>
        <v/>
      </c>
      <c r="AZ212" s="102"/>
      <c r="BA212" s="102">
        <f>IF(AV212&lt;&gt;0,COUNTIFS($A$7:A212,A212,$AV$7:AV212,"Quên check in"))
+IF(AW212&lt;&gt;0,COUNTIFS($A$7:A212,A212,$AW$7:AW212,"Quên check in"))
+IF(AX212&lt;&gt;0,COUNTIFS($A$7:A212,A212,$AX$7:AX212,"Quên check out"))
+IF(AY212&lt;&gt;0,COUNTIFS($A$7:A212,A212,$AY$7:AY212,"Quên check out"))</f>
        <v>1</v>
      </c>
      <c r="BB212" s="143">
        <f t="shared" si="320"/>
        <v>0</v>
      </c>
    </row>
    <row r="213" spans="1:54" s="83" customFormat="1" ht="14.1" customHeight="1" x14ac:dyDescent="0.3">
      <c r="A213" s="103" t="s">
        <v>10</v>
      </c>
      <c r="B213" s="104" t="s">
        <v>19</v>
      </c>
      <c r="C213" s="105">
        <v>5000000</v>
      </c>
      <c r="D213" s="106">
        <v>43445</v>
      </c>
      <c r="E213" s="107">
        <v>43647</v>
      </c>
      <c r="F213" s="107">
        <v>73415</v>
      </c>
      <c r="G213" s="105">
        <v>26</v>
      </c>
      <c r="H213" s="105">
        <f t="shared" si="343"/>
        <v>5</v>
      </c>
      <c r="I213" s="105"/>
      <c r="J213" s="108">
        <v>43790</v>
      </c>
      <c r="K213" s="108" t="str">
        <f t="shared" si="334"/>
        <v>NV11843790VàoSáng</v>
      </c>
      <c r="L213" s="102" t="str">
        <f>IFERROR(VLOOKUP(K213,'1. Vân tay'!$F:$G,2,0),0)</f>
        <v>08:02:51</v>
      </c>
      <c r="M213" s="108" t="str">
        <f t="shared" si="335"/>
        <v>NV11843790RaSáng</v>
      </c>
      <c r="N213" s="102">
        <f>IFERROR(VLOOKUP(M213,'1. Vân tay'!$F:$G,2,0),0)</f>
        <v>0</v>
      </c>
      <c r="O213" s="108" t="str">
        <f t="shared" si="336"/>
        <v>NV11843790VàoChiều</v>
      </c>
      <c r="P213" s="102">
        <f>IFERROR(VLOOKUP(O213,'1. Vân tay'!$F:$G,2,0),0)</f>
        <v>0</v>
      </c>
      <c r="Q213" s="108" t="str">
        <f t="shared" si="337"/>
        <v>NV11843790RaChiều</v>
      </c>
      <c r="R213" s="102" t="str">
        <f>IFERROR(VLOOKUP(Q213,'1. Vân tay'!$F:$G,2,0),0)</f>
        <v>17:34:59</v>
      </c>
      <c r="S213" s="102">
        <f t="shared" si="344"/>
        <v>0</v>
      </c>
      <c r="T213" s="109">
        <v>0.33333333333333331</v>
      </c>
      <c r="U213" s="109">
        <v>0.5</v>
      </c>
      <c r="V213" s="109">
        <v>0.5625</v>
      </c>
      <c r="W213" s="109">
        <v>0.72916666666666663</v>
      </c>
      <c r="X213" s="102">
        <f>HDSD!$F$4</f>
        <v>5</v>
      </c>
      <c r="Y213" s="102">
        <f>SUMIFS('2. Đi muộn về sớm'!$K:$K,
'2. Đi muộn về sớm'!$B:$B,$A213,
'2. Đi muộn về sớm'!$D:$D,$J213)</f>
        <v>0</v>
      </c>
      <c r="Z213" s="110">
        <f t="shared" si="338"/>
        <v>2.85</v>
      </c>
      <c r="AA213" s="110">
        <f t="shared" si="339"/>
        <v>0</v>
      </c>
      <c r="AB213" s="111">
        <f t="shared" si="340"/>
        <v>2.85</v>
      </c>
      <c r="AC213" s="112">
        <f t="shared" si="307"/>
        <v>0</v>
      </c>
      <c r="AD213" s="113">
        <f t="shared" si="308"/>
        <v>0</v>
      </c>
      <c r="AE213" s="111">
        <f t="shared" si="341"/>
        <v>0</v>
      </c>
      <c r="AF213" s="113">
        <f t="shared" si="309"/>
        <v>0</v>
      </c>
      <c r="AG213" s="113">
        <f t="shared" si="310"/>
        <v>0</v>
      </c>
      <c r="AH213" s="114">
        <f t="shared" si="241"/>
        <v>9.5355555555555558</v>
      </c>
      <c r="AI213" s="102" t="str">
        <f t="shared" si="311"/>
        <v>X:8</v>
      </c>
      <c r="AJ213" s="102" t="str">
        <f t="shared" si="312"/>
        <v>NV11843790</v>
      </c>
      <c r="AK213" s="102" t="str">
        <f>IF(OR(J213&lt;D213,J213&gt;F213),"",
IFERROR(INDEX('3. Đơn xin nghỉ'!$K:$K,MATCH('4. Tổng hợp dữ liệu'!AJ213,'3. Đơn xin nghỉ'!$I:$I,0),1),
IF(AND(AU213="Không CC",I213&lt;&gt;1),"Ro:8","")))</f>
        <v/>
      </c>
      <c r="AL213" s="102" t="str">
        <f t="shared" si="313"/>
        <v/>
      </c>
      <c r="AM213" s="102" t="str">
        <f t="shared" si="345"/>
        <v>X:8</v>
      </c>
      <c r="AN213" s="102" t="s">
        <v>92</v>
      </c>
      <c r="AO213" s="102"/>
      <c r="AP213" s="115">
        <f>IFERROR(VLOOKUP(AN213,'Quy đổi công'!A:D,3,0),0)</f>
        <v>1</v>
      </c>
      <c r="AQ213" s="115">
        <f>IFERROR(VLOOKUP(AN213,'Quy đổi công'!A:D,4,0),0)</f>
        <v>0</v>
      </c>
      <c r="AR213" s="115">
        <f t="shared" si="314"/>
        <v>0</v>
      </c>
      <c r="AS213" s="115">
        <f t="shared" si="346"/>
        <v>1</v>
      </c>
      <c r="AT213" s="115">
        <f t="shared" si="342"/>
        <v>0</v>
      </c>
      <c r="AU213" s="102" t="str">
        <f t="shared" si="315"/>
        <v/>
      </c>
      <c r="AV213" s="102" t="str">
        <f t="shared" si="316"/>
        <v/>
      </c>
      <c r="AW213" s="102" t="str">
        <f t="shared" si="317"/>
        <v/>
      </c>
      <c r="AX213" s="102" t="str">
        <f t="shared" si="318"/>
        <v/>
      </c>
      <c r="AY213" s="102" t="str">
        <f t="shared" si="319"/>
        <v/>
      </c>
      <c r="AZ213" s="102"/>
      <c r="BA213" s="102">
        <f>IF(AV213&lt;&gt;0,COUNTIFS($A$7:A213,A213,$AV$7:AV213,"Quên check in"))
+IF(AW213&lt;&gt;0,COUNTIFS($A$7:A213,A213,$AW$7:AW213,"Quên check in"))
+IF(AX213&lt;&gt;0,COUNTIFS($A$7:A213,A213,$AX$7:AX213,"Quên check out"))
+IF(AY213&lt;&gt;0,COUNTIFS($A$7:A213,A213,$AY$7:AY213,"Quên check out"))</f>
        <v>1</v>
      </c>
      <c r="BB213" s="143">
        <f t="shared" si="320"/>
        <v>0</v>
      </c>
    </row>
    <row r="214" spans="1:54" s="83" customFormat="1" ht="14.1" customHeight="1" x14ac:dyDescent="0.3">
      <c r="A214" s="103" t="s">
        <v>11</v>
      </c>
      <c r="B214" s="104" t="s">
        <v>20</v>
      </c>
      <c r="C214" s="105">
        <v>4700000</v>
      </c>
      <c r="D214" s="106">
        <v>43467</v>
      </c>
      <c r="E214" s="107">
        <v>43617</v>
      </c>
      <c r="F214" s="107">
        <v>73415</v>
      </c>
      <c r="G214" s="105">
        <v>26</v>
      </c>
      <c r="H214" s="105">
        <f t="shared" si="343"/>
        <v>5</v>
      </c>
      <c r="I214" s="105"/>
      <c r="J214" s="108">
        <v>43790</v>
      </c>
      <c r="K214" s="108" t="str">
        <f t="shared" si="334"/>
        <v>NV12243790VàoSáng</v>
      </c>
      <c r="L214" s="102" t="str">
        <f>IFERROR(VLOOKUP(K214,'1. Vân tay'!$F:$G,2,0),0)</f>
        <v>08:02:27</v>
      </c>
      <c r="M214" s="108" t="str">
        <f t="shared" si="335"/>
        <v>NV12243790RaSáng</v>
      </c>
      <c r="N214" s="102">
        <f>IFERROR(VLOOKUP(M214,'1. Vân tay'!$F:$G,2,0),0)</f>
        <v>0</v>
      </c>
      <c r="O214" s="108" t="str">
        <f t="shared" si="336"/>
        <v>NV12243790VàoChiều</v>
      </c>
      <c r="P214" s="102">
        <f>IFERROR(VLOOKUP(O214,'1. Vân tay'!$F:$G,2,0),0)</f>
        <v>0</v>
      </c>
      <c r="Q214" s="108" t="str">
        <f t="shared" si="337"/>
        <v>NV12243790RaChiều</v>
      </c>
      <c r="R214" s="102" t="str">
        <f>IFERROR(VLOOKUP(Q214,'1. Vân tay'!$F:$G,2,0),0)</f>
        <v>17:34:25</v>
      </c>
      <c r="S214" s="102">
        <f t="shared" si="344"/>
        <v>0</v>
      </c>
      <c r="T214" s="109">
        <v>0.33333333333333331</v>
      </c>
      <c r="U214" s="109">
        <v>0.5</v>
      </c>
      <c r="V214" s="109">
        <v>0.5625</v>
      </c>
      <c r="W214" s="109">
        <v>0.72916666666666663</v>
      </c>
      <c r="X214" s="102">
        <f>HDSD!$F$4</f>
        <v>5</v>
      </c>
      <c r="Y214" s="102">
        <f>SUMIFS('2. Đi muộn về sớm'!$K:$K,
'2. Đi muộn về sớm'!$B:$B,$A214,
'2. Đi muộn về sớm'!$D:$D,$J214)</f>
        <v>0</v>
      </c>
      <c r="Z214" s="110">
        <f t="shared" si="338"/>
        <v>2.4500000000000002</v>
      </c>
      <c r="AA214" s="110">
        <f t="shared" si="339"/>
        <v>0</v>
      </c>
      <c r="AB214" s="111">
        <f t="shared" si="340"/>
        <v>2.4500000000000002</v>
      </c>
      <c r="AC214" s="112">
        <f t="shared" si="307"/>
        <v>0</v>
      </c>
      <c r="AD214" s="113">
        <f t="shared" si="308"/>
        <v>0</v>
      </c>
      <c r="AE214" s="111">
        <f t="shared" si="341"/>
        <v>0</v>
      </c>
      <c r="AF214" s="113">
        <f t="shared" si="309"/>
        <v>0</v>
      </c>
      <c r="AG214" s="113">
        <f t="shared" si="310"/>
        <v>0</v>
      </c>
      <c r="AH214" s="114">
        <f t="shared" si="241"/>
        <v>9.5327777777777793</v>
      </c>
      <c r="AI214" s="102" t="str">
        <f t="shared" si="311"/>
        <v>X:8</v>
      </c>
      <c r="AJ214" s="102" t="str">
        <f t="shared" si="312"/>
        <v>NV12243790</v>
      </c>
      <c r="AK214" s="102" t="str">
        <f>IF(OR(J214&lt;D214,J214&gt;F214),"",
IFERROR(INDEX('3. Đơn xin nghỉ'!$K:$K,MATCH('4. Tổng hợp dữ liệu'!AJ214,'3. Đơn xin nghỉ'!$I:$I,0),1),
IF(AND(AU214="Không CC",I214&lt;&gt;1),"Ro:8","")))</f>
        <v/>
      </c>
      <c r="AL214" s="102" t="str">
        <f t="shared" si="313"/>
        <v/>
      </c>
      <c r="AM214" s="102" t="str">
        <f t="shared" si="345"/>
        <v>X:8</v>
      </c>
      <c r="AN214" s="102" t="s">
        <v>92</v>
      </c>
      <c r="AO214" s="102"/>
      <c r="AP214" s="115">
        <f>IFERROR(VLOOKUP(AN214,'Quy đổi công'!A:D,3,0),0)</f>
        <v>1</v>
      </c>
      <c r="AQ214" s="115">
        <f>IFERROR(VLOOKUP(AN214,'Quy đổi công'!A:D,4,0),0)</f>
        <v>0</v>
      </c>
      <c r="AR214" s="115">
        <f t="shared" si="314"/>
        <v>0</v>
      </c>
      <c r="AS214" s="115">
        <f t="shared" si="346"/>
        <v>1</v>
      </c>
      <c r="AT214" s="115">
        <f t="shared" si="342"/>
        <v>0</v>
      </c>
      <c r="AU214" s="102" t="str">
        <f t="shared" si="315"/>
        <v/>
      </c>
      <c r="AV214" s="102" t="str">
        <f t="shared" si="316"/>
        <v/>
      </c>
      <c r="AW214" s="102" t="str">
        <f t="shared" si="317"/>
        <v/>
      </c>
      <c r="AX214" s="102" t="str">
        <f t="shared" si="318"/>
        <v/>
      </c>
      <c r="AY214" s="102" t="str">
        <f t="shared" si="319"/>
        <v/>
      </c>
      <c r="AZ214" s="102"/>
      <c r="BA214" s="102">
        <f>IF(AV214&lt;&gt;0,COUNTIFS($A$7:A214,A214,$AV$7:AV214,"Quên check in"))
+IF(AW214&lt;&gt;0,COUNTIFS($A$7:A214,A214,$AW$7:AW214,"Quên check in"))
+IF(AX214&lt;&gt;0,COUNTIFS($A$7:A214,A214,$AX$7:AX214,"Quên check out"))
+IF(AY214&lt;&gt;0,COUNTIFS($A$7:A214,A214,$AY$7:AY214,"Quên check out"))</f>
        <v>1</v>
      </c>
      <c r="BB214" s="143">
        <f t="shared" si="320"/>
        <v>0</v>
      </c>
    </row>
    <row r="215" spans="1:54" s="83" customFormat="1" ht="14.1" customHeight="1" x14ac:dyDescent="0.3">
      <c r="A215" s="103" t="s">
        <v>12</v>
      </c>
      <c r="B215" s="104" t="s">
        <v>21</v>
      </c>
      <c r="C215" s="105">
        <v>5000000</v>
      </c>
      <c r="D215" s="106">
        <v>43482</v>
      </c>
      <c r="E215" s="107">
        <v>43647</v>
      </c>
      <c r="F215" s="107">
        <v>73415</v>
      </c>
      <c r="G215" s="105">
        <v>26</v>
      </c>
      <c r="H215" s="105">
        <f t="shared" si="343"/>
        <v>5</v>
      </c>
      <c r="I215" s="105"/>
      <c r="J215" s="108">
        <v>43790</v>
      </c>
      <c r="K215" s="108" t="str">
        <f t="shared" si="334"/>
        <v>NV12343790VàoSáng</v>
      </c>
      <c r="L215" s="102" t="str">
        <f>IFERROR(VLOOKUP(K215,'1. Vân tay'!$F:$G,2,0),0)</f>
        <v>07:57:53</v>
      </c>
      <c r="M215" s="108" t="str">
        <f t="shared" si="335"/>
        <v>NV12343790RaSáng</v>
      </c>
      <c r="N215" s="102">
        <f>IFERROR(VLOOKUP(M215,'1. Vân tay'!$F:$G,2,0),0)</f>
        <v>0</v>
      </c>
      <c r="O215" s="108" t="str">
        <f t="shared" si="336"/>
        <v>NV12343790VàoChiều</v>
      </c>
      <c r="P215" s="102">
        <f>IFERROR(VLOOKUP(O215,'1. Vân tay'!$F:$G,2,0),0)</f>
        <v>0</v>
      </c>
      <c r="Q215" s="108" t="str">
        <f t="shared" si="337"/>
        <v>NV12343790RaChiều</v>
      </c>
      <c r="R215" s="102" t="str">
        <f>IFERROR(VLOOKUP(Q215,'1. Vân tay'!$F:$G,2,0),0)</f>
        <v>17:31:57</v>
      </c>
      <c r="S215" s="102">
        <f t="shared" si="344"/>
        <v>0</v>
      </c>
      <c r="T215" s="109">
        <v>0.33333333333333331</v>
      </c>
      <c r="U215" s="109">
        <v>0.5</v>
      </c>
      <c r="V215" s="109">
        <v>0.5625</v>
      </c>
      <c r="W215" s="109">
        <v>0.72916666666666663</v>
      </c>
      <c r="X215" s="102">
        <f>HDSD!$F$4</f>
        <v>5</v>
      </c>
      <c r="Y215" s="102">
        <f>SUMIFS('2. Đi muộn về sớm'!$K:$K,
'2. Đi muộn về sớm'!$B:$B,$A215,
'2. Đi muộn về sớm'!$D:$D,$J215)</f>
        <v>0</v>
      </c>
      <c r="Z215" s="110">
        <f t="shared" si="338"/>
        <v>0</v>
      </c>
      <c r="AA215" s="110">
        <f t="shared" si="339"/>
        <v>0</v>
      </c>
      <c r="AB215" s="111">
        <f t="shared" si="340"/>
        <v>0</v>
      </c>
      <c r="AC215" s="112">
        <f t="shared" si="307"/>
        <v>0</v>
      </c>
      <c r="AD215" s="113">
        <f t="shared" si="308"/>
        <v>0</v>
      </c>
      <c r="AE215" s="111">
        <f t="shared" si="341"/>
        <v>0</v>
      </c>
      <c r="AF215" s="113">
        <f t="shared" si="309"/>
        <v>0</v>
      </c>
      <c r="AG215" s="113">
        <f t="shared" si="310"/>
        <v>0</v>
      </c>
      <c r="AH215" s="114">
        <f t="shared" si="241"/>
        <v>9.5677777777777777</v>
      </c>
      <c r="AI215" s="102" t="str">
        <f t="shared" si="311"/>
        <v>X:8</v>
      </c>
      <c r="AJ215" s="102" t="str">
        <f t="shared" si="312"/>
        <v>NV12343790</v>
      </c>
      <c r="AK215" s="102" t="str">
        <f>IF(OR(J215&lt;D215,J215&gt;F215),"",
IFERROR(INDEX('3. Đơn xin nghỉ'!$K:$K,MATCH('4. Tổng hợp dữ liệu'!AJ215,'3. Đơn xin nghỉ'!$I:$I,0),1),
IF(AND(AU215="Không CC",I215&lt;&gt;1),"Ro:8","")))</f>
        <v/>
      </c>
      <c r="AL215" s="102" t="str">
        <f t="shared" si="313"/>
        <v/>
      </c>
      <c r="AM215" s="102" t="str">
        <f t="shared" si="345"/>
        <v>X:8</v>
      </c>
      <c r="AN215" s="102" t="s">
        <v>92</v>
      </c>
      <c r="AO215" s="102"/>
      <c r="AP215" s="115">
        <f>IFERROR(VLOOKUP(AN215,'Quy đổi công'!A:D,3,0),0)</f>
        <v>1</v>
      </c>
      <c r="AQ215" s="115">
        <f>IFERROR(VLOOKUP(AN215,'Quy đổi công'!A:D,4,0),0)</f>
        <v>0</v>
      </c>
      <c r="AR215" s="115">
        <f t="shared" si="314"/>
        <v>0</v>
      </c>
      <c r="AS215" s="115">
        <f t="shared" si="346"/>
        <v>1</v>
      </c>
      <c r="AT215" s="115">
        <f t="shared" si="342"/>
        <v>0</v>
      </c>
      <c r="AU215" s="102" t="str">
        <f t="shared" si="315"/>
        <v/>
      </c>
      <c r="AV215" s="102" t="str">
        <f t="shared" si="316"/>
        <v/>
      </c>
      <c r="AW215" s="102" t="str">
        <f t="shared" si="317"/>
        <v/>
      </c>
      <c r="AX215" s="102" t="str">
        <f t="shared" si="318"/>
        <v/>
      </c>
      <c r="AY215" s="102" t="str">
        <f t="shared" si="319"/>
        <v/>
      </c>
      <c r="AZ215" s="102"/>
      <c r="BA215" s="102">
        <f>IF(AV215&lt;&gt;0,COUNTIFS($A$7:A215,A215,$AV$7:AV215,"Quên check in"))
+IF(AW215&lt;&gt;0,COUNTIFS($A$7:A215,A215,$AW$7:AW215,"Quên check in"))
+IF(AX215&lt;&gt;0,COUNTIFS($A$7:A215,A215,$AX$7:AX215,"Quên check out"))
+IF(AY215&lt;&gt;0,COUNTIFS($A$7:A215,A215,$AY$7:AY215,"Quên check out"))</f>
        <v>1</v>
      </c>
      <c r="BB215" s="143">
        <f t="shared" si="320"/>
        <v>0</v>
      </c>
    </row>
    <row r="216" spans="1:54" s="83" customFormat="1" ht="14.1" customHeight="1" x14ac:dyDescent="0.3">
      <c r="A216" s="103" t="s">
        <v>13</v>
      </c>
      <c r="B216" s="104" t="s">
        <v>22</v>
      </c>
      <c r="C216" s="105">
        <v>4700000</v>
      </c>
      <c r="D216" s="106">
        <v>43531</v>
      </c>
      <c r="E216" s="107">
        <v>43647</v>
      </c>
      <c r="F216" s="107">
        <v>73415</v>
      </c>
      <c r="G216" s="105">
        <v>26</v>
      </c>
      <c r="H216" s="105">
        <f t="shared" si="343"/>
        <v>5</v>
      </c>
      <c r="I216" s="105"/>
      <c r="J216" s="108">
        <v>43790</v>
      </c>
      <c r="K216" s="108" t="str">
        <f t="shared" si="334"/>
        <v>NV12643790VàoSáng</v>
      </c>
      <c r="L216" s="102" t="str">
        <f>IFERROR(VLOOKUP(K216,'1. Vân tay'!$F:$G,2,0),0)</f>
        <v>08:01:34</v>
      </c>
      <c r="M216" s="108" t="str">
        <f t="shared" si="335"/>
        <v>NV12643790RaSáng</v>
      </c>
      <c r="N216" s="102">
        <f>IFERROR(VLOOKUP(M216,'1. Vân tay'!$F:$G,2,0),0)</f>
        <v>0</v>
      </c>
      <c r="O216" s="108" t="str">
        <f t="shared" si="336"/>
        <v>NV12643790VàoChiều</v>
      </c>
      <c r="P216" s="102">
        <f>IFERROR(VLOOKUP(O216,'1. Vân tay'!$F:$G,2,0),0)</f>
        <v>0</v>
      </c>
      <c r="Q216" s="108" t="str">
        <f t="shared" si="337"/>
        <v>NV12643790RaChiều</v>
      </c>
      <c r="R216" s="102" t="str">
        <f>IFERROR(VLOOKUP(Q216,'1. Vân tay'!$F:$G,2,0),0)</f>
        <v>17:36:15</v>
      </c>
      <c r="S216" s="102">
        <f t="shared" si="344"/>
        <v>0</v>
      </c>
      <c r="T216" s="109">
        <v>0.33333333333333331</v>
      </c>
      <c r="U216" s="109">
        <v>0.5</v>
      </c>
      <c r="V216" s="109">
        <v>0.5625</v>
      </c>
      <c r="W216" s="109">
        <v>0.72916666666666663</v>
      </c>
      <c r="X216" s="102">
        <f>HDSD!$F$4</f>
        <v>5</v>
      </c>
      <c r="Y216" s="102">
        <f>SUMIFS('2. Đi muộn về sớm'!$K:$K,
'2. Đi muộn về sớm'!$B:$B,$A216,
'2. Đi muộn về sớm'!$D:$D,$J216)</f>
        <v>0</v>
      </c>
      <c r="Z216" s="110">
        <f t="shared" si="338"/>
        <v>1.5666666666666667</v>
      </c>
      <c r="AA216" s="110">
        <f t="shared" si="339"/>
        <v>0</v>
      </c>
      <c r="AB216" s="111">
        <f t="shared" si="340"/>
        <v>1.5666666666666667</v>
      </c>
      <c r="AC216" s="112">
        <f t="shared" si="307"/>
        <v>0</v>
      </c>
      <c r="AD216" s="113">
        <f t="shared" si="308"/>
        <v>0</v>
      </c>
      <c r="AE216" s="111">
        <f t="shared" si="341"/>
        <v>0</v>
      </c>
      <c r="AF216" s="113">
        <f t="shared" si="309"/>
        <v>0</v>
      </c>
      <c r="AG216" s="113">
        <f t="shared" si="310"/>
        <v>0</v>
      </c>
      <c r="AH216" s="114">
        <f t="shared" si="241"/>
        <v>9.5780555555555544</v>
      </c>
      <c r="AI216" s="102" t="str">
        <f t="shared" si="311"/>
        <v>X:8</v>
      </c>
      <c r="AJ216" s="102" t="str">
        <f t="shared" si="312"/>
        <v>NV12643790</v>
      </c>
      <c r="AK216" s="102" t="str">
        <f>IF(OR(J216&lt;D216,J216&gt;F216),"",
IFERROR(INDEX('3. Đơn xin nghỉ'!$K:$K,MATCH('4. Tổng hợp dữ liệu'!AJ216,'3. Đơn xin nghỉ'!$I:$I,0),1),
IF(AND(AU216="Không CC",I216&lt;&gt;1),"Ro:8","")))</f>
        <v/>
      </c>
      <c r="AL216" s="102" t="str">
        <f t="shared" si="313"/>
        <v/>
      </c>
      <c r="AM216" s="102" t="str">
        <f t="shared" si="345"/>
        <v>X:8</v>
      </c>
      <c r="AN216" s="102" t="s">
        <v>92</v>
      </c>
      <c r="AO216" s="102"/>
      <c r="AP216" s="115">
        <f>IFERROR(VLOOKUP(AN216,'Quy đổi công'!A:D,3,0),0)</f>
        <v>1</v>
      </c>
      <c r="AQ216" s="115">
        <f>IFERROR(VLOOKUP(AN216,'Quy đổi công'!A:D,4,0),0)</f>
        <v>0</v>
      </c>
      <c r="AR216" s="115">
        <f t="shared" si="314"/>
        <v>0</v>
      </c>
      <c r="AS216" s="115">
        <f t="shared" si="346"/>
        <v>1</v>
      </c>
      <c r="AT216" s="115">
        <f t="shared" si="342"/>
        <v>0</v>
      </c>
      <c r="AU216" s="102" t="str">
        <f t="shared" si="315"/>
        <v/>
      </c>
      <c r="AV216" s="102" t="str">
        <f t="shared" si="316"/>
        <v/>
      </c>
      <c r="AW216" s="102" t="str">
        <f t="shared" si="317"/>
        <v/>
      </c>
      <c r="AX216" s="102" t="str">
        <f t="shared" si="318"/>
        <v/>
      </c>
      <c r="AY216" s="102" t="str">
        <f t="shared" si="319"/>
        <v/>
      </c>
      <c r="AZ216" s="102"/>
      <c r="BA216" s="102">
        <f>IF(AV216&lt;&gt;0,COUNTIFS($A$7:A216,A216,$AV$7:AV216,"Quên check in"))
+IF(AW216&lt;&gt;0,COUNTIFS($A$7:A216,A216,$AW$7:AW216,"Quên check in"))
+IF(AX216&lt;&gt;0,COUNTIFS($A$7:A216,A216,$AX$7:AX216,"Quên check out"))
+IF(AY216&lt;&gt;0,COUNTIFS($A$7:A216,A216,$AY$7:AY216,"Quên check out"))</f>
        <v>0</v>
      </c>
      <c r="BB216" s="143">
        <f t="shared" si="320"/>
        <v>0</v>
      </c>
    </row>
    <row r="217" spans="1:54" s="83" customFormat="1" ht="14.1" customHeight="1" x14ac:dyDescent="0.3">
      <c r="A217" s="103" t="s">
        <v>4</v>
      </c>
      <c r="B217" s="104" t="s">
        <v>14</v>
      </c>
      <c r="C217" s="105">
        <v>4700000</v>
      </c>
      <c r="D217" s="106">
        <v>43388</v>
      </c>
      <c r="E217" s="107">
        <v>43525</v>
      </c>
      <c r="F217" s="107">
        <v>73415</v>
      </c>
      <c r="G217" s="105">
        <v>26</v>
      </c>
      <c r="H217" s="105">
        <f t="shared" si="343"/>
        <v>6</v>
      </c>
      <c r="I217" s="105"/>
      <c r="J217" s="108">
        <v>43791</v>
      </c>
      <c r="K217" s="108" t="str">
        <f t="shared" si="334"/>
        <v>NV10143791VàoSáng</v>
      </c>
      <c r="L217" s="102" t="str">
        <f>IFERROR(VLOOKUP(K217,'1. Vân tay'!$F:$G,2,0),0)</f>
        <v>08:02:20</v>
      </c>
      <c r="M217" s="108" t="str">
        <f t="shared" si="335"/>
        <v>NV10143791RaSáng</v>
      </c>
      <c r="N217" s="102">
        <f>IFERROR(VLOOKUP(M217,'1. Vân tay'!$F:$G,2,0),0)</f>
        <v>0</v>
      </c>
      <c r="O217" s="108" t="str">
        <f t="shared" si="336"/>
        <v>NV10143791VàoChiều</v>
      </c>
      <c r="P217" s="102">
        <f>IFERROR(VLOOKUP(O217,'1. Vân tay'!$F:$G,2,0),0)</f>
        <v>0</v>
      </c>
      <c r="Q217" s="108" t="str">
        <f t="shared" si="337"/>
        <v>NV10143791RaChiều</v>
      </c>
      <c r="R217" s="102" t="str">
        <f>IFERROR(VLOOKUP(Q217,'1. Vân tay'!$F:$G,2,0),0)</f>
        <v>17:32:05</v>
      </c>
      <c r="S217" s="102">
        <f t="shared" si="344"/>
        <v>0</v>
      </c>
      <c r="T217" s="109">
        <v>0.33333333333333331</v>
      </c>
      <c r="U217" s="109">
        <v>0.5</v>
      </c>
      <c r="V217" s="109">
        <v>0.5625</v>
      </c>
      <c r="W217" s="109">
        <v>0.72916666666666663</v>
      </c>
      <c r="X217" s="102">
        <f>HDSD!$F$4</f>
        <v>5</v>
      </c>
      <c r="Y217" s="102">
        <f>SUMIFS('2. Đi muộn về sớm'!$K:$K,
'2. Đi muộn về sớm'!$B:$B,$A217,
'2. Đi muộn về sớm'!$D:$D,$J217)</f>
        <v>0</v>
      </c>
      <c r="Z217" s="110">
        <f t="shared" si="338"/>
        <v>2.3333333333333335</v>
      </c>
      <c r="AA217" s="110">
        <f t="shared" si="339"/>
        <v>0</v>
      </c>
      <c r="AB217" s="111">
        <f t="shared" si="340"/>
        <v>2.3333333333333335</v>
      </c>
      <c r="AC217" s="112">
        <f t="shared" si="307"/>
        <v>0</v>
      </c>
      <c r="AD217" s="113">
        <f t="shared" si="308"/>
        <v>0</v>
      </c>
      <c r="AE217" s="111">
        <f t="shared" si="341"/>
        <v>0</v>
      </c>
      <c r="AF217" s="113">
        <f t="shared" si="309"/>
        <v>0</v>
      </c>
      <c r="AG217" s="113">
        <f t="shared" si="310"/>
        <v>0</v>
      </c>
      <c r="AH217" s="114">
        <f t="shared" ref="AH217:AH280" si="347">IF(AND(AV217="Quên check in",AZ217="Đồng ý"),IFERROR(HOUR(N217-T217+R217-P217)+MINUTE(N217-T217+R217-P217)/60+SECOND(N217-T217+R217-P217)/3600,0),
IF(AND(AW217="Quên check in",AZ217="Đồng ý"),IFERROR(HOUR(N217-L217+R217-V217)+MINUTE(N217-L217+R217-V217)/60+SECOND(N217-L217+R217-V217)/3600,0),
IF(AND(AX217="Quên check out",AZ217="Đồng ý"),IFERROR(HOUR(U217-L217+R217-P217)+MINUTE(U217-L217+R217-P217)/60+SECOND(U217-L217+R217-P217)/3600,0),
IF(AND(AY217="Quên check out",AZ217="Đồng ý"),IFERROR(HOUR(N217-L217+W217-P217)+MINUTE(N217-L217+W217-P217)/60+SECOND(N217-L217+W217-P217)/3600,0),
IF(AND(LEN(AV217&amp;AW217&amp;AX217&amp;AY217)&gt;0,LEN(AV217&amp;AW217&amp;AX217&amp;AY217)&lt;15),4,
IF(LEN(AV217&amp;AW217&amp;AX217&amp;AY217)&gt;15,0,
IFERROR(HOUR(N217-L217+R217-P217)+MINUTE(N217-L217+R217-P217)/60+SECOND(N217-L217+R217-P217)/3600,0)))))))</f>
        <v>9.4958333333333318</v>
      </c>
      <c r="AI217" s="102" t="str">
        <f t="shared" si="311"/>
        <v>X:8</v>
      </c>
      <c r="AJ217" s="102" t="str">
        <f t="shared" si="312"/>
        <v>NV10143791</v>
      </c>
      <c r="AK217" s="102" t="str">
        <f>IF(OR(J217&lt;D217,J217&gt;F217),"",
IFERROR(INDEX('3. Đơn xin nghỉ'!$K:$K,MATCH('4. Tổng hợp dữ liệu'!AJ217,'3. Đơn xin nghỉ'!$I:$I,0),1),
IF(AND(AU217="Không CC",I217&lt;&gt;1),"Ro:8","")))</f>
        <v/>
      </c>
      <c r="AL217" s="102" t="str">
        <f t="shared" si="313"/>
        <v/>
      </c>
      <c r="AM217" s="102" t="str">
        <f t="shared" si="345"/>
        <v>X:8</v>
      </c>
      <c r="AN217" s="102" t="s">
        <v>92</v>
      </c>
      <c r="AO217" s="102"/>
      <c r="AP217" s="115">
        <f>IFERROR(VLOOKUP(AN217,'Quy đổi công'!A:D,3,0),0)</f>
        <v>1</v>
      </c>
      <c r="AQ217" s="115">
        <f>IFERROR(VLOOKUP(AN217,'Quy đổi công'!A:D,4,0),0)</f>
        <v>0</v>
      </c>
      <c r="AR217" s="115">
        <f t="shared" si="314"/>
        <v>0</v>
      </c>
      <c r="AS217" s="115">
        <f t="shared" si="346"/>
        <v>1</v>
      </c>
      <c r="AT217" s="115">
        <f t="shared" si="342"/>
        <v>0</v>
      </c>
      <c r="AU217" s="102" t="str">
        <f t="shared" si="315"/>
        <v/>
      </c>
      <c r="AV217" s="102" t="str">
        <f t="shared" si="316"/>
        <v/>
      </c>
      <c r="AW217" s="102" t="str">
        <f t="shared" si="317"/>
        <v/>
      </c>
      <c r="AX217" s="102" t="str">
        <f t="shared" si="318"/>
        <v/>
      </c>
      <c r="AY217" s="102" t="str">
        <f t="shared" si="319"/>
        <v/>
      </c>
      <c r="AZ217" s="102"/>
      <c r="BA217" s="102">
        <f>IF(AV217&lt;&gt;0,COUNTIFS($A$7:A217,A217,$AV$7:AV217,"Quên check in"))
+IF(AW217&lt;&gt;0,COUNTIFS($A$7:A217,A217,$AW$7:AW217,"Quên check in"))
+IF(AX217&lt;&gt;0,COUNTIFS($A$7:A217,A217,$AX$7:AX217,"Quên check out"))
+IF(AY217&lt;&gt;0,COUNTIFS($A$7:A217,A217,$AY$7:AY217,"Quên check out"))</f>
        <v>0</v>
      </c>
      <c r="BB217" s="143">
        <f t="shared" si="320"/>
        <v>0</v>
      </c>
    </row>
    <row r="218" spans="1:54" s="83" customFormat="1" ht="14.1" customHeight="1" x14ac:dyDescent="0.3">
      <c r="A218" s="103" t="s">
        <v>5</v>
      </c>
      <c r="B218" s="104" t="s">
        <v>28</v>
      </c>
      <c r="C218" s="105">
        <v>10000000</v>
      </c>
      <c r="D218" s="106">
        <v>43409</v>
      </c>
      <c r="E218" s="107">
        <v>43678</v>
      </c>
      <c r="F218" s="107">
        <v>73415</v>
      </c>
      <c r="G218" s="105">
        <v>26</v>
      </c>
      <c r="H218" s="105">
        <f t="shared" si="343"/>
        <v>6</v>
      </c>
      <c r="I218" s="105"/>
      <c r="J218" s="108">
        <v>43791</v>
      </c>
      <c r="K218" s="108" t="str">
        <f t="shared" ref="K218:K226" si="348">$A218&amp;$J218&amp;"Vào"&amp;"Sáng"</f>
        <v>NV10743791VàoSáng</v>
      </c>
      <c r="L218" s="102" t="str">
        <f>IFERROR(VLOOKUP(K218,'1. Vân tay'!$F:$G,2,0),0)</f>
        <v>08:00:36</v>
      </c>
      <c r="M218" s="108" t="str">
        <f t="shared" ref="M218:M226" si="349">$A218&amp;$J218&amp;"Ra"&amp;"Sáng"</f>
        <v>NV10743791RaSáng</v>
      </c>
      <c r="N218" s="102">
        <f>IFERROR(VLOOKUP(M218,'1. Vân tay'!$F:$G,2,0),0)</f>
        <v>0</v>
      </c>
      <c r="O218" s="108" t="str">
        <f t="shared" ref="O218:O226" si="350">$A218&amp;$J218&amp;"Vào"&amp;"Chiều"</f>
        <v>NV10743791VàoChiều</v>
      </c>
      <c r="P218" s="102">
        <f>IFERROR(VLOOKUP(O218,'1. Vân tay'!$F:$G,2,0),0)</f>
        <v>0</v>
      </c>
      <c r="Q218" s="108" t="str">
        <f t="shared" ref="Q218:Q226" si="351">$A218&amp;$J218&amp;"Ra"&amp;"Chiều"</f>
        <v>NV10743791RaChiều</v>
      </c>
      <c r="R218" s="102" t="str">
        <f>IFERROR(VLOOKUP(Q218,'1. Vân tay'!$F:$G,2,0),0)</f>
        <v>17:32:27</v>
      </c>
      <c r="S218" s="102">
        <f t="shared" si="344"/>
        <v>0</v>
      </c>
      <c r="T218" s="109">
        <v>0.33333333333333331</v>
      </c>
      <c r="U218" s="109">
        <v>0.5</v>
      </c>
      <c r="V218" s="109">
        <v>0.5625</v>
      </c>
      <c r="W218" s="109">
        <v>0.72916666666666663</v>
      </c>
      <c r="X218" s="102">
        <f>HDSD!$F$4</f>
        <v>5</v>
      </c>
      <c r="Y218" s="102">
        <f>SUMIFS('2. Đi muộn về sớm'!$K:$K,
'2. Đi muộn về sớm'!$B:$B,$A218,
'2. Đi muộn về sớm'!$D:$D,$J218)</f>
        <v>0</v>
      </c>
      <c r="Z218" s="110">
        <f t="shared" ref="Z218:Z226" si="352">IF(L218=0,0,IFERROR((HOUR(L218-T218)*60+MINUTE(L218-T218)+SECOND(L218-T218)/60),0))
+IF(N218=0,0, IFERROR((HOUR(U218-N218)*60+MINUTE(U218-N218)+SECOND(U218-N218)/60),0))
+IF(P218=0,0, IFERROR((HOUR(P218-V218)*60+MINUTE(P218-V218)+SECOND(P218-V218)/60),0))
+IF(R218=0,0, IFERROR((HOUR(W218-R218)*60+MINUTE(W218-R218)+SECOND(W218-R218)/60),0))</f>
        <v>0.6</v>
      </c>
      <c r="AA218" s="110">
        <f t="shared" ref="AA218:AA226" si="353">IF(L218=0,0,IFERROR((HOUR(L218-"09:00:00")*60+MINUTE(L218-"09:00:00")+SECOND(L218-"09:00:00")/60),0))
+IF(N218=0,0, IFERROR((HOUR(U218-N218)*60+MINUTE(U218-N218)+SECOND(U218-N218)/60),0))
+IF(P218=0,0, IFERROR((HOUR(P218-V218)*60+MINUTE(P218-V218)+SECOND(P218-V218)/60),0))
+IF(R218=0,0, IFERROR((HOUR("16:30:00"-R218)*60+MINUTE("16:30:00"-R218)+SECOND("16:30:00"-R218)/60),0))</f>
        <v>0</v>
      </c>
      <c r="AB218" s="111">
        <f t="shared" ref="AB218:AB226" si="354">Z218-AA218</f>
        <v>0.6</v>
      </c>
      <c r="AC218" s="112">
        <f t="shared" si="307"/>
        <v>0</v>
      </c>
      <c r="AD218" s="113">
        <f t="shared" si="308"/>
        <v>0</v>
      </c>
      <c r="AE218" s="111">
        <f t="shared" ref="AE218:AE226" si="355">AA218/60/8</f>
        <v>0</v>
      </c>
      <c r="AF218" s="113">
        <f t="shared" si="309"/>
        <v>0</v>
      </c>
      <c r="AG218" s="113">
        <f t="shared" si="310"/>
        <v>0</v>
      </c>
      <c r="AH218" s="114">
        <f t="shared" si="347"/>
        <v>9.5308333333333337</v>
      </c>
      <c r="AI218" s="102" t="str">
        <f t="shared" si="311"/>
        <v>X:8</v>
      </c>
      <c r="AJ218" s="102" t="str">
        <f t="shared" si="312"/>
        <v>NV10743791</v>
      </c>
      <c r="AK218" s="102" t="str">
        <f>IF(OR(J218&lt;D218,J218&gt;F218),"",
IFERROR(INDEX('3. Đơn xin nghỉ'!$K:$K,MATCH('4. Tổng hợp dữ liệu'!AJ218,'3. Đơn xin nghỉ'!$I:$I,0),1),
IF(AND(AU218="Không CC",I218&lt;&gt;1),"Ro:8","")))</f>
        <v/>
      </c>
      <c r="AL218" s="102" t="str">
        <f t="shared" si="313"/>
        <v/>
      </c>
      <c r="AM218" s="102" t="str">
        <f t="shared" si="345"/>
        <v>X:8</v>
      </c>
      <c r="AN218" s="102" t="s">
        <v>92</v>
      </c>
      <c r="AO218" s="102"/>
      <c r="AP218" s="115">
        <f>IFERROR(VLOOKUP(AN218,'Quy đổi công'!A:D,3,0),0)</f>
        <v>1</v>
      </c>
      <c r="AQ218" s="115">
        <f>IFERROR(VLOOKUP(AN218,'Quy đổi công'!A:D,4,0),0)</f>
        <v>0</v>
      </c>
      <c r="AR218" s="115">
        <f t="shared" si="314"/>
        <v>0</v>
      </c>
      <c r="AS218" s="115">
        <f t="shared" si="346"/>
        <v>1</v>
      </c>
      <c r="AT218" s="115">
        <f t="shared" ref="AT218:AT226" si="356">IF(AN218="P8",1)
+IF(OR(AN218="X:4,P:4",AN218="P:4,Rv:4",AN218="P:4,Ro:4"),1/2)</f>
        <v>0</v>
      </c>
      <c r="AU218" s="102" t="str">
        <f t="shared" si="315"/>
        <v/>
      </c>
      <c r="AV218" s="102" t="str">
        <f t="shared" si="316"/>
        <v/>
      </c>
      <c r="AW218" s="102" t="str">
        <f t="shared" si="317"/>
        <v/>
      </c>
      <c r="AX218" s="102" t="str">
        <f t="shared" si="318"/>
        <v/>
      </c>
      <c r="AY218" s="102" t="str">
        <f t="shared" si="319"/>
        <v/>
      </c>
      <c r="AZ218" s="102"/>
      <c r="BA218" s="102">
        <f>IF(AV218&lt;&gt;0,COUNTIFS($A$7:A218,A218,$AV$7:AV218,"Quên check in"))
+IF(AW218&lt;&gt;0,COUNTIFS($A$7:A218,A218,$AW$7:AW218,"Quên check in"))
+IF(AX218&lt;&gt;0,COUNTIFS($A$7:A218,A218,$AX$7:AX218,"Quên check out"))
+IF(AY218&lt;&gt;0,COUNTIFS($A$7:A218,A218,$AY$7:AY218,"Quên check out"))</f>
        <v>4</v>
      </c>
      <c r="BB218" s="143">
        <f t="shared" si="320"/>
        <v>50000</v>
      </c>
    </row>
    <row r="219" spans="1:54" s="83" customFormat="1" ht="14.1" customHeight="1" x14ac:dyDescent="0.3">
      <c r="A219" s="103" t="s">
        <v>6</v>
      </c>
      <c r="B219" s="104" t="s">
        <v>15</v>
      </c>
      <c r="C219" s="105">
        <v>4700000</v>
      </c>
      <c r="D219" s="106">
        <v>43409</v>
      </c>
      <c r="E219" s="107">
        <v>43617</v>
      </c>
      <c r="F219" s="107">
        <v>73415</v>
      </c>
      <c r="G219" s="105">
        <v>26</v>
      </c>
      <c r="H219" s="105">
        <f t="shared" ref="H219:H226" si="357">WEEKDAY(J219,1)</f>
        <v>6</v>
      </c>
      <c r="I219" s="105"/>
      <c r="J219" s="108">
        <v>43791</v>
      </c>
      <c r="K219" s="108" t="str">
        <f t="shared" si="348"/>
        <v>NV10843791VàoSáng</v>
      </c>
      <c r="L219" s="102" t="str">
        <f>IFERROR(VLOOKUP(K219,'1. Vân tay'!$F:$G,2,0),0)</f>
        <v>08:00:56</v>
      </c>
      <c r="M219" s="108" t="str">
        <f t="shared" si="349"/>
        <v>NV10843791RaSáng</v>
      </c>
      <c r="N219" s="102">
        <f>IFERROR(VLOOKUP(M219,'1. Vân tay'!$F:$G,2,0),0)</f>
        <v>0</v>
      </c>
      <c r="O219" s="108" t="str">
        <f t="shared" si="350"/>
        <v>NV10843791VàoChiều</v>
      </c>
      <c r="P219" s="102">
        <f>IFERROR(VLOOKUP(O219,'1. Vân tay'!$F:$G,2,0),0)</f>
        <v>0</v>
      </c>
      <c r="Q219" s="108" t="str">
        <f t="shared" si="351"/>
        <v>NV10843791RaChiều</v>
      </c>
      <c r="R219" s="102" t="str">
        <f>IFERROR(VLOOKUP(Q219,'1. Vân tay'!$F:$G,2,0),0)</f>
        <v>17:52:30</v>
      </c>
      <c r="S219" s="102">
        <f t="shared" ref="S219:S226" si="358">IF(OR(
(AND(L219&lt;&gt;0,P219&lt;&gt;0)),
(AND(N219&lt;&gt;0,R219&lt;&gt;0))),"Kiểm tra",0)</f>
        <v>0</v>
      </c>
      <c r="T219" s="109">
        <v>0.33333333333333331</v>
      </c>
      <c r="U219" s="109">
        <v>0.5</v>
      </c>
      <c r="V219" s="109">
        <v>0.5625</v>
      </c>
      <c r="W219" s="109">
        <v>0.72916666666666663</v>
      </c>
      <c r="X219" s="102">
        <f>HDSD!$F$4</f>
        <v>5</v>
      </c>
      <c r="Y219" s="102">
        <f>SUMIFS('2. Đi muộn về sớm'!$K:$K,
'2. Đi muộn về sớm'!$B:$B,$A219,
'2. Đi muộn về sớm'!$D:$D,$J219)</f>
        <v>0</v>
      </c>
      <c r="Z219" s="110">
        <f t="shared" si="352"/>
        <v>0.93333333333333335</v>
      </c>
      <c r="AA219" s="110">
        <f t="shared" si="353"/>
        <v>0</v>
      </c>
      <c r="AB219" s="111">
        <f t="shared" si="354"/>
        <v>0.93333333333333335</v>
      </c>
      <c r="AC219" s="112">
        <f t="shared" si="307"/>
        <v>0</v>
      </c>
      <c r="AD219" s="113">
        <f t="shared" si="308"/>
        <v>0</v>
      </c>
      <c r="AE219" s="111">
        <f t="shared" si="355"/>
        <v>0</v>
      </c>
      <c r="AF219" s="113">
        <f t="shared" si="309"/>
        <v>0</v>
      </c>
      <c r="AG219" s="113">
        <f t="shared" si="310"/>
        <v>0</v>
      </c>
      <c r="AH219" s="114">
        <f t="shared" si="347"/>
        <v>9.8594444444444438</v>
      </c>
      <c r="AI219" s="102" t="str">
        <f t="shared" si="311"/>
        <v>X:8</v>
      </c>
      <c r="AJ219" s="102" t="str">
        <f t="shared" si="312"/>
        <v>NV10843791</v>
      </c>
      <c r="AK219" s="102" t="str">
        <f>IF(OR(J219&lt;D219,J219&gt;F219),"",
IFERROR(INDEX('3. Đơn xin nghỉ'!$K:$K,MATCH('4. Tổng hợp dữ liệu'!AJ219,'3. Đơn xin nghỉ'!$I:$I,0),1),
IF(AND(AU219="Không CC",I219&lt;&gt;1),"Ro:8","")))</f>
        <v/>
      </c>
      <c r="AL219" s="102" t="str">
        <f t="shared" si="313"/>
        <v/>
      </c>
      <c r="AM219" s="102" t="str">
        <f t="shared" ref="AM219:AM226" si="359">IF(OR(AI219="",AK219=""),AI219&amp;AK219,AI219&amp;","&amp;AK219)&amp;AL219</f>
        <v>X:8</v>
      </c>
      <c r="AN219" s="102" t="s">
        <v>92</v>
      </c>
      <c r="AO219" s="102"/>
      <c r="AP219" s="115">
        <f>IFERROR(VLOOKUP(AN219,'Quy đổi công'!A:D,3,0),0)</f>
        <v>1</v>
      </c>
      <c r="AQ219" s="115">
        <f>IFERROR(VLOOKUP(AN219,'Quy đổi công'!A:D,4,0),0)</f>
        <v>0</v>
      </c>
      <c r="AR219" s="115">
        <f t="shared" si="314"/>
        <v>0</v>
      </c>
      <c r="AS219" s="115">
        <f t="shared" ref="AS219:AS226" si="360">AP219-AR219</f>
        <v>1</v>
      </c>
      <c r="AT219" s="115">
        <f t="shared" si="356"/>
        <v>0</v>
      </c>
      <c r="AU219" s="102" t="str">
        <f t="shared" si="315"/>
        <v/>
      </c>
      <c r="AV219" s="102" t="str">
        <f t="shared" si="316"/>
        <v/>
      </c>
      <c r="AW219" s="102" t="str">
        <f t="shared" si="317"/>
        <v/>
      </c>
      <c r="AX219" s="102" t="str">
        <f t="shared" si="318"/>
        <v/>
      </c>
      <c r="AY219" s="102" t="str">
        <f t="shared" si="319"/>
        <v/>
      </c>
      <c r="AZ219" s="102"/>
      <c r="BA219" s="102">
        <f>IF(AV219&lt;&gt;0,COUNTIFS($A$7:A219,A219,$AV$7:AV219,"Quên check in"))
+IF(AW219&lt;&gt;0,COUNTIFS($A$7:A219,A219,$AW$7:AW219,"Quên check in"))
+IF(AX219&lt;&gt;0,COUNTIFS($A$7:A219,A219,$AX$7:AX219,"Quên check out"))
+IF(AY219&lt;&gt;0,COUNTIFS($A$7:A219,A219,$AY$7:AY219,"Quên check out"))</f>
        <v>0</v>
      </c>
      <c r="BB219" s="143">
        <f t="shared" si="320"/>
        <v>0</v>
      </c>
    </row>
    <row r="220" spans="1:54" s="83" customFormat="1" ht="14.1" customHeight="1" x14ac:dyDescent="0.3">
      <c r="A220" s="103" t="s">
        <v>7</v>
      </c>
      <c r="B220" s="104" t="s">
        <v>16</v>
      </c>
      <c r="C220" s="105">
        <v>5000000</v>
      </c>
      <c r="D220" s="106">
        <v>43416</v>
      </c>
      <c r="E220" s="107">
        <v>43617</v>
      </c>
      <c r="F220" s="107">
        <v>73415</v>
      </c>
      <c r="G220" s="105">
        <v>26</v>
      </c>
      <c r="H220" s="105">
        <f t="shared" si="357"/>
        <v>6</v>
      </c>
      <c r="I220" s="105"/>
      <c r="J220" s="108">
        <v>43791</v>
      </c>
      <c r="K220" s="108" t="str">
        <f t="shared" si="348"/>
        <v>NV10943791VàoSáng</v>
      </c>
      <c r="L220" s="102" t="str">
        <f>IFERROR(VLOOKUP(K220,'1. Vân tay'!$F:$G,2,0),0)</f>
        <v>08:01:23</v>
      </c>
      <c r="M220" s="108" t="str">
        <f t="shared" si="349"/>
        <v>NV10943791RaSáng</v>
      </c>
      <c r="N220" s="102">
        <f>IFERROR(VLOOKUP(M220,'1. Vân tay'!$F:$G,2,0),0)</f>
        <v>0</v>
      </c>
      <c r="O220" s="108" t="str">
        <f t="shared" si="350"/>
        <v>NV10943791VàoChiều</v>
      </c>
      <c r="P220" s="102">
        <f>IFERROR(VLOOKUP(O220,'1. Vân tay'!$F:$G,2,0),0)</f>
        <v>0</v>
      </c>
      <c r="Q220" s="108" t="str">
        <f t="shared" si="351"/>
        <v>NV10943791RaChiều</v>
      </c>
      <c r="R220" s="102" t="str">
        <f>IFERROR(VLOOKUP(Q220,'1. Vân tay'!$F:$G,2,0),0)</f>
        <v>17:44:29</v>
      </c>
      <c r="S220" s="102">
        <f t="shared" si="358"/>
        <v>0</v>
      </c>
      <c r="T220" s="109">
        <v>0.33333333333333331</v>
      </c>
      <c r="U220" s="109">
        <v>0.5</v>
      </c>
      <c r="V220" s="109">
        <v>0.5625</v>
      </c>
      <c r="W220" s="109">
        <v>0.72916666666666663</v>
      </c>
      <c r="X220" s="102">
        <f>HDSD!$F$4</f>
        <v>5</v>
      </c>
      <c r="Y220" s="102">
        <f>SUMIFS('2. Đi muộn về sớm'!$K:$K,
'2. Đi muộn về sớm'!$B:$B,$A220,
'2. Đi muộn về sớm'!$D:$D,$J220)</f>
        <v>0</v>
      </c>
      <c r="Z220" s="110">
        <f t="shared" si="352"/>
        <v>1.3833333333333333</v>
      </c>
      <c r="AA220" s="110">
        <f t="shared" si="353"/>
        <v>0</v>
      </c>
      <c r="AB220" s="111">
        <f t="shared" si="354"/>
        <v>1.3833333333333333</v>
      </c>
      <c r="AC220" s="112">
        <f t="shared" si="307"/>
        <v>0</v>
      </c>
      <c r="AD220" s="113">
        <f t="shared" si="308"/>
        <v>0</v>
      </c>
      <c r="AE220" s="111">
        <f t="shared" si="355"/>
        <v>0</v>
      </c>
      <c r="AF220" s="113">
        <f t="shared" si="309"/>
        <v>0</v>
      </c>
      <c r="AG220" s="113">
        <f t="shared" si="310"/>
        <v>0</v>
      </c>
      <c r="AH220" s="114">
        <f t="shared" si="347"/>
        <v>9.7183333333333337</v>
      </c>
      <c r="AI220" s="102" t="str">
        <f t="shared" si="311"/>
        <v>X:8</v>
      </c>
      <c r="AJ220" s="102" t="str">
        <f t="shared" si="312"/>
        <v>NV10943791</v>
      </c>
      <c r="AK220" s="102" t="str">
        <f>IF(OR(J220&lt;D220,J220&gt;F220),"",
IFERROR(INDEX('3. Đơn xin nghỉ'!$K:$K,MATCH('4. Tổng hợp dữ liệu'!AJ220,'3. Đơn xin nghỉ'!$I:$I,0),1),
IF(AND(AU220="Không CC",I220&lt;&gt;1),"Ro:8","")))</f>
        <v/>
      </c>
      <c r="AL220" s="102" t="str">
        <f t="shared" si="313"/>
        <v/>
      </c>
      <c r="AM220" s="102" t="str">
        <f t="shared" si="359"/>
        <v>X:8</v>
      </c>
      <c r="AN220" s="102" t="s">
        <v>92</v>
      </c>
      <c r="AO220" s="102"/>
      <c r="AP220" s="115">
        <f>IFERROR(VLOOKUP(AN220,'Quy đổi công'!A:D,3,0),0)</f>
        <v>1</v>
      </c>
      <c r="AQ220" s="115">
        <f>IFERROR(VLOOKUP(AN220,'Quy đổi công'!A:D,4,0),0)</f>
        <v>0</v>
      </c>
      <c r="AR220" s="115">
        <f t="shared" si="314"/>
        <v>0</v>
      </c>
      <c r="AS220" s="115">
        <f t="shared" si="360"/>
        <v>1</v>
      </c>
      <c r="AT220" s="115">
        <f t="shared" si="356"/>
        <v>0</v>
      </c>
      <c r="AU220" s="102" t="str">
        <f t="shared" si="315"/>
        <v/>
      </c>
      <c r="AV220" s="102" t="str">
        <f t="shared" si="316"/>
        <v/>
      </c>
      <c r="AW220" s="102" t="str">
        <f t="shared" si="317"/>
        <v/>
      </c>
      <c r="AX220" s="102" t="str">
        <f t="shared" si="318"/>
        <v/>
      </c>
      <c r="AY220" s="102" t="str">
        <f t="shared" si="319"/>
        <v/>
      </c>
      <c r="AZ220" s="102"/>
      <c r="BA220" s="102">
        <f>IF(AV220&lt;&gt;0,COUNTIFS($A$7:A220,A220,$AV$7:AV220,"Quên check in"))
+IF(AW220&lt;&gt;0,COUNTIFS($A$7:A220,A220,$AW$7:AW220,"Quên check in"))
+IF(AX220&lt;&gt;0,COUNTIFS($A$7:A220,A220,$AX$7:AX220,"Quên check out"))
+IF(AY220&lt;&gt;0,COUNTIFS($A$7:A220,A220,$AY$7:AY220,"Quên check out"))</f>
        <v>0</v>
      </c>
      <c r="BB220" s="143">
        <f t="shared" si="320"/>
        <v>0</v>
      </c>
    </row>
    <row r="221" spans="1:54" s="83" customFormat="1" ht="14.1" customHeight="1" x14ac:dyDescent="0.3">
      <c r="A221" s="103" t="s">
        <v>8</v>
      </c>
      <c r="B221" s="104" t="s">
        <v>17</v>
      </c>
      <c r="C221" s="105">
        <v>5000000</v>
      </c>
      <c r="D221" s="106">
        <v>43423</v>
      </c>
      <c r="E221" s="107">
        <v>43617</v>
      </c>
      <c r="F221" s="107">
        <v>73415</v>
      </c>
      <c r="G221" s="105">
        <v>26</v>
      </c>
      <c r="H221" s="105">
        <f t="shared" si="357"/>
        <v>6</v>
      </c>
      <c r="I221" s="105"/>
      <c r="J221" s="108">
        <v>43791</v>
      </c>
      <c r="K221" s="108" t="str">
        <f t="shared" si="348"/>
        <v>NV11343791VàoSáng</v>
      </c>
      <c r="L221" s="102" t="str">
        <f>IFERROR(VLOOKUP(K221,'1. Vân tay'!$F:$G,2,0),0)</f>
        <v>07:47:46</v>
      </c>
      <c r="M221" s="108" t="str">
        <f t="shared" si="349"/>
        <v>NV11343791RaSáng</v>
      </c>
      <c r="N221" s="102">
        <f>IFERROR(VLOOKUP(M221,'1. Vân tay'!$F:$G,2,0),0)</f>
        <v>0</v>
      </c>
      <c r="O221" s="108" t="str">
        <f t="shared" si="350"/>
        <v>NV11343791VàoChiều</v>
      </c>
      <c r="P221" s="102">
        <f>IFERROR(VLOOKUP(O221,'1. Vân tay'!$F:$G,2,0),0)</f>
        <v>0</v>
      </c>
      <c r="Q221" s="108" t="str">
        <f t="shared" si="351"/>
        <v>NV11343791RaChiều</v>
      </c>
      <c r="R221" s="102" t="str">
        <f>IFERROR(VLOOKUP(Q221,'1. Vân tay'!$F:$G,2,0),0)</f>
        <v>17:44:32</v>
      </c>
      <c r="S221" s="102">
        <f t="shared" si="358"/>
        <v>0</v>
      </c>
      <c r="T221" s="109">
        <v>0.33333333333333331</v>
      </c>
      <c r="U221" s="109">
        <v>0.5</v>
      </c>
      <c r="V221" s="109">
        <v>0.5625</v>
      </c>
      <c r="W221" s="109">
        <v>0.72916666666666663</v>
      </c>
      <c r="X221" s="102">
        <f>HDSD!$F$4</f>
        <v>5</v>
      </c>
      <c r="Y221" s="102">
        <f>SUMIFS('2. Đi muộn về sớm'!$K:$K,
'2. Đi muộn về sớm'!$B:$B,$A221,
'2. Đi muộn về sớm'!$D:$D,$J221)</f>
        <v>0</v>
      </c>
      <c r="Z221" s="110">
        <f t="shared" si="352"/>
        <v>0</v>
      </c>
      <c r="AA221" s="110">
        <f t="shared" si="353"/>
        <v>0</v>
      </c>
      <c r="AB221" s="111">
        <f t="shared" si="354"/>
        <v>0</v>
      </c>
      <c r="AC221" s="112">
        <f t="shared" si="307"/>
        <v>0</v>
      </c>
      <c r="AD221" s="113">
        <f t="shared" si="308"/>
        <v>0</v>
      </c>
      <c r="AE221" s="111">
        <f t="shared" si="355"/>
        <v>0</v>
      </c>
      <c r="AF221" s="113">
        <f t="shared" si="309"/>
        <v>0</v>
      </c>
      <c r="AG221" s="113">
        <f t="shared" si="310"/>
        <v>0</v>
      </c>
      <c r="AH221" s="114">
        <f t="shared" si="347"/>
        <v>9.9461111111111116</v>
      </c>
      <c r="AI221" s="102" t="str">
        <f t="shared" si="311"/>
        <v>X:8</v>
      </c>
      <c r="AJ221" s="102" t="str">
        <f t="shared" si="312"/>
        <v>NV11343791</v>
      </c>
      <c r="AK221" s="102" t="str">
        <f>IF(OR(J221&lt;D221,J221&gt;F221),"",
IFERROR(INDEX('3. Đơn xin nghỉ'!$K:$K,MATCH('4. Tổng hợp dữ liệu'!AJ221,'3. Đơn xin nghỉ'!$I:$I,0),1),
IF(AND(AU221="Không CC",I221&lt;&gt;1),"Ro:8","")))</f>
        <v/>
      </c>
      <c r="AL221" s="102" t="str">
        <f t="shared" si="313"/>
        <v/>
      </c>
      <c r="AM221" s="102" t="str">
        <f t="shared" si="359"/>
        <v>X:8</v>
      </c>
      <c r="AN221" s="102" t="s">
        <v>92</v>
      </c>
      <c r="AO221" s="102"/>
      <c r="AP221" s="115">
        <f>IFERROR(VLOOKUP(AN221,'Quy đổi công'!A:D,3,0),0)</f>
        <v>1</v>
      </c>
      <c r="AQ221" s="115">
        <f>IFERROR(VLOOKUP(AN221,'Quy đổi công'!A:D,4,0),0)</f>
        <v>0</v>
      </c>
      <c r="AR221" s="115">
        <f t="shared" si="314"/>
        <v>0</v>
      </c>
      <c r="AS221" s="115">
        <f t="shared" si="360"/>
        <v>1</v>
      </c>
      <c r="AT221" s="115">
        <f t="shared" si="356"/>
        <v>0</v>
      </c>
      <c r="AU221" s="102" t="str">
        <f t="shared" si="315"/>
        <v/>
      </c>
      <c r="AV221" s="102" t="str">
        <f t="shared" si="316"/>
        <v/>
      </c>
      <c r="AW221" s="102" t="str">
        <f t="shared" si="317"/>
        <v/>
      </c>
      <c r="AX221" s="102" t="str">
        <f t="shared" si="318"/>
        <v/>
      </c>
      <c r="AY221" s="102" t="str">
        <f t="shared" si="319"/>
        <v/>
      </c>
      <c r="AZ221" s="102"/>
      <c r="BA221" s="102">
        <f>IF(AV221&lt;&gt;0,COUNTIFS($A$7:A221,A221,$AV$7:AV221,"Quên check in"))
+IF(AW221&lt;&gt;0,COUNTIFS($A$7:A221,A221,$AW$7:AW221,"Quên check in"))
+IF(AX221&lt;&gt;0,COUNTIFS($A$7:A221,A221,$AX$7:AX221,"Quên check out"))
+IF(AY221&lt;&gt;0,COUNTIFS($A$7:A221,A221,$AY$7:AY221,"Quên check out"))</f>
        <v>1</v>
      </c>
      <c r="BB221" s="143">
        <f t="shared" si="320"/>
        <v>0</v>
      </c>
    </row>
    <row r="222" spans="1:54" s="83" customFormat="1" ht="14.1" customHeight="1" x14ac:dyDescent="0.3">
      <c r="A222" s="103" t="s">
        <v>9</v>
      </c>
      <c r="B222" s="104" t="s">
        <v>18</v>
      </c>
      <c r="C222" s="105">
        <v>4900000</v>
      </c>
      <c r="D222" s="106">
        <v>43437</v>
      </c>
      <c r="E222" s="107">
        <v>43617</v>
      </c>
      <c r="F222" s="107">
        <v>73415</v>
      </c>
      <c r="G222" s="105">
        <v>26</v>
      </c>
      <c r="H222" s="105">
        <f t="shared" si="357"/>
        <v>6</v>
      </c>
      <c r="I222" s="105"/>
      <c r="J222" s="108">
        <v>43791</v>
      </c>
      <c r="K222" s="108" t="str">
        <f t="shared" si="348"/>
        <v>NV11443791VàoSáng</v>
      </c>
      <c r="L222" s="102" t="str">
        <f>IFERROR(VLOOKUP(K222,'1. Vân tay'!$F:$G,2,0),0)</f>
        <v>08:03:27</v>
      </c>
      <c r="M222" s="108" t="str">
        <f t="shared" si="349"/>
        <v>NV11443791RaSáng</v>
      </c>
      <c r="N222" s="102">
        <f>IFERROR(VLOOKUP(M222,'1. Vân tay'!$F:$G,2,0),0)</f>
        <v>0</v>
      </c>
      <c r="O222" s="108" t="str">
        <f t="shared" si="350"/>
        <v>NV11443791VàoChiều</v>
      </c>
      <c r="P222" s="102">
        <f>IFERROR(VLOOKUP(O222,'1. Vân tay'!$F:$G,2,0),0)</f>
        <v>0</v>
      </c>
      <c r="Q222" s="108" t="str">
        <f t="shared" si="351"/>
        <v>NV11443791RaChiều</v>
      </c>
      <c r="R222" s="102" t="str">
        <f>IFERROR(VLOOKUP(Q222,'1. Vân tay'!$F:$G,2,0),0)</f>
        <v>17:34:52</v>
      </c>
      <c r="S222" s="102">
        <f t="shared" si="358"/>
        <v>0</v>
      </c>
      <c r="T222" s="109">
        <v>0.33333333333333331</v>
      </c>
      <c r="U222" s="109">
        <v>0.5</v>
      </c>
      <c r="V222" s="109">
        <v>0.5625</v>
      </c>
      <c r="W222" s="109">
        <v>0.72916666666666663</v>
      </c>
      <c r="X222" s="102">
        <f>HDSD!$F$4</f>
        <v>5</v>
      </c>
      <c r="Y222" s="102">
        <f>SUMIFS('2. Đi muộn về sớm'!$K:$K,
'2. Đi muộn về sớm'!$B:$B,$A222,
'2. Đi muộn về sớm'!$D:$D,$J222)</f>
        <v>0</v>
      </c>
      <c r="Z222" s="110">
        <f t="shared" si="352"/>
        <v>3.45</v>
      </c>
      <c r="AA222" s="110">
        <f t="shared" si="353"/>
        <v>0</v>
      </c>
      <c r="AB222" s="111">
        <f t="shared" si="354"/>
        <v>3.45</v>
      </c>
      <c r="AC222" s="112">
        <f t="shared" si="307"/>
        <v>0</v>
      </c>
      <c r="AD222" s="113">
        <f t="shared" si="308"/>
        <v>0</v>
      </c>
      <c r="AE222" s="111">
        <f t="shared" si="355"/>
        <v>0</v>
      </c>
      <c r="AF222" s="113">
        <f t="shared" si="309"/>
        <v>0</v>
      </c>
      <c r="AG222" s="113">
        <f t="shared" si="310"/>
        <v>0</v>
      </c>
      <c r="AH222" s="114">
        <f t="shared" si="347"/>
        <v>9.5236111111111121</v>
      </c>
      <c r="AI222" s="102" t="str">
        <f t="shared" si="311"/>
        <v>X:8</v>
      </c>
      <c r="AJ222" s="102" t="str">
        <f t="shared" si="312"/>
        <v>NV11443791</v>
      </c>
      <c r="AK222" s="102" t="str">
        <f>IF(OR(J222&lt;D222,J222&gt;F222),"",
IFERROR(INDEX('3. Đơn xin nghỉ'!$K:$K,MATCH('4. Tổng hợp dữ liệu'!AJ222,'3. Đơn xin nghỉ'!$I:$I,0),1),
IF(AND(AU222="Không CC",I222&lt;&gt;1),"Ro:8","")))</f>
        <v/>
      </c>
      <c r="AL222" s="102" t="str">
        <f t="shared" si="313"/>
        <v/>
      </c>
      <c r="AM222" s="102" t="str">
        <f t="shared" si="359"/>
        <v>X:8</v>
      </c>
      <c r="AN222" s="102" t="s">
        <v>92</v>
      </c>
      <c r="AO222" s="102"/>
      <c r="AP222" s="115">
        <f>IFERROR(VLOOKUP(AN222,'Quy đổi công'!A:D,3,0),0)</f>
        <v>1</v>
      </c>
      <c r="AQ222" s="115">
        <f>IFERROR(VLOOKUP(AN222,'Quy đổi công'!A:D,4,0),0)</f>
        <v>0</v>
      </c>
      <c r="AR222" s="115">
        <f t="shared" si="314"/>
        <v>0</v>
      </c>
      <c r="AS222" s="115">
        <f t="shared" si="360"/>
        <v>1</v>
      </c>
      <c r="AT222" s="115">
        <f t="shared" si="356"/>
        <v>0</v>
      </c>
      <c r="AU222" s="102" t="str">
        <f t="shared" si="315"/>
        <v/>
      </c>
      <c r="AV222" s="102" t="str">
        <f t="shared" si="316"/>
        <v/>
      </c>
      <c r="AW222" s="102" t="str">
        <f t="shared" si="317"/>
        <v/>
      </c>
      <c r="AX222" s="102" t="str">
        <f t="shared" si="318"/>
        <v/>
      </c>
      <c r="AY222" s="102" t="str">
        <f t="shared" si="319"/>
        <v/>
      </c>
      <c r="AZ222" s="102"/>
      <c r="BA222" s="102">
        <f>IF(AV222&lt;&gt;0,COUNTIFS($A$7:A222,A222,$AV$7:AV222,"Quên check in"))
+IF(AW222&lt;&gt;0,COUNTIFS($A$7:A222,A222,$AW$7:AW222,"Quên check in"))
+IF(AX222&lt;&gt;0,COUNTIFS($A$7:A222,A222,$AX$7:AX222,"Quên check out"))
+IF(AY222&lt;&gt;0,COUNTIFS($A$7:A222,A222,$AY$7:AY222,"Quên check out"))</f>
        <v>1</v>
      </c>
      <c r="BB222" s="143">
        <f t="shared" si="320"/>
        <v>0</v>
      </c>
    </row>
    <row r="223" spans="1:54" s="83" customFormat="1" ht="14.1" customHeight="1" x14ac:dyDescent="0.3">
      <c r="A223" s="103" t="s">
        <v>10</v>
      </c>
      <c r="B223" s="104" t="s">
        <v>19</v>
      </c>
      <c r="C223" s="105">
        <v>5000000</v>
      </c>
      <c r="D223" s="106">
        <v>43445</v>
      </c>
      <c r="E223" s="107">
        <v>43647</v>
      </c>
      <c r="F223" s="107">
        <v>73415</v>
      </c>
      <c r="G223" s="105">
        <v>26</v>
      </c>
      <c r="H223" s="105">
        <f t="shared" si="357"/>
        <v>6</v>
      </c>
      <c r="I223" s="105"/>
      <c r="J223" s="108">
        <v>43791</v>
      </c>
      <c r="K223" s="108" t="str">
        <f t="shared" si="348"/>
        <v>NV11843791VàoSáng</v>
      </c>
      <c r="L223" s="102" t="str">
        <f>IFERROR(VLOOKUP(K223,'1. Vân tay'!$F:$G,2,0),0)</f>
        <v>08:02:15</v>
      </c>
      <c r="M223" s="108" t="str">
        <f t="shared" si="349"/>
        <v>NV11843791RaSáng</v>
      </c>
      <c r="N223" s="102">
        <f>IFERROR(VLOOKUP(M223,'1. Vân tay'!$F:$G,2,0),0)</f>
        <v>0</v>
      </c>
      <c r="O223" s="108" t="str">
        <f t="shared" si="350"/>
        <v>NV11843791VàoChiều</v>
      </c>
      <c r="P223" s="102">
        <f>IFERROR(VLOOKUP(O223,'1. Vân tay'!$F:$G,2,0),0)</f>
        <v>0</v>
      </c>
      <c r="Q223" s="108" t="str">
        <f t="shared" si="351"/>
        <v>NV11843791RaChiều</v>
      </c>
      <c r="R223" s="102" t="str">
        <f>IFERROR(VLOOKUP(Q223,'1. Vân tay'!$F:$G,2,0),0)</f>
        <v>17:41:11</v>
      </c>
      <c r="S223" s="102">
        <f t="shared" si="358"/>
        <v>0</v>
      </c>
      <c r="T223" s="109">
        <v>0.33333333333333331</v>
      </c>
      <c r="U223" s="109">
        <v>0.5</v>
      </c>
      <c r="V223" s="109">
        <v>0.5625</v>
      </c>
      <c r="W223" s="109">
        <v>0.72916666666666663</v>
      </c>
      <c r="X223" s="102">
        <f>HDSD!$F$4</f>
        <v>5</v>
      </c>
      <c r="Y223" s="102">
        <f>SUMIFS('2. Đi muộn về sớm'!$K:$K,
'2. Đi muộn về sớm'!$B:$B,$A223,
'2. Đi muộn về sớm'!$D:$D,$J223)</f>
        <v>0</v>
      </c>
      <c r="Z223" s="110">
        <f t="shared" si="352"/>
        <v>2.25</v>
      </c>
      <c r="AA223" s="110">
        <f t="shared" si="353"/>
        <v>0</v>
      </c>
      <c r="AB223" s="111">
        <f t="shared" si="354"/>
        <v>2.25</v>
      </c>
      <c r="AC223" s="112">
        <f t="shared" si="307"/>
        <v>0</v>
      </c>
      <c r="AD223" s="113">
        <f t="shared" si="308"/>
        <v>0</v>
      </c>
      <c r="AE223" s="111">
        <f t="shared" si="355"/>
        <v>0</v>
      </c>
      <c r="AF223" s="113">
        <f t="shared" si="309"/>
        <v>0</v>
      </c>
      <c r="AG223" s="113">
        <f t="shared" si="310"/>
        <v>0</v>
      </c>
      <c r="AH223" s="114">
        <f t="shared" si="347"/>
        <v>9.6488888888888891</v>
      </c>
      <c r="AI223" s="102" t="str">
        <f t="shared" si="311"/>
        <v>X:8</v>
      </c>
      <c r="AJ223" s="102" t="str">
        <f t="shared" si="312"/>
        <v>NV11843791</v>
      </c>
      <c r="AK223" s="102" t="str">
        <f>IF(OR(J223&lt;D223,J223&gt;F223),"",
IFERROR(INDEX('3. Đơn xin nghỉ'!$K:$K,MATCH('4. Tổng hợp dữ liệu'!AJ223,'3. Đơn xin nghỉ'!$I:$I,0),1),
IF(AND(AU223="Không CC",I223&lt;&gt;1),"Ro:8","")))</f>
        <v/>
      </c>
      <c r="AL223" s="102" t="str">
        <f t="shared" si="313"/>
        <v/>
      </c>
      <c r="AM223" s="102" t="str">
        <f t="shared" si="359"/>
        <v>X:8</v>
      </c>
      <c r="AN223" s="102" t="s">
        <v>92</v>
      </c>
      <c r="AO223" s="102"/>
      <c r="AP223" s="115">
        <f>IFERROR(VLOOKUP(AN223,'Quy đổi công'!A:D,3,0),0)</f>
        <v>1</v>
      </c>
      <c r="AQ223" s="115">
        <f>IFERROR(VLOOKUP(AN223,'Quy đổi công'!A:D,4,0),0)</f>
        <v>0</v>
      </c>
      <c r="AR223" s="115">
        <f t="shared" si="314"/>
        <v>0</v>
      </c>
      <c r="AS223" s="115">
        <f t="shared" si="360"/>
        <v>1</v>
      </c>
      <c r="AT223" s="115">
        <f t="shared" si="356"/>
        <v>0</v>
      </c>
      <c r="AU223" s="102" t="str">
        <f t="shared" si="315"/>
        <v/>
      </c>
      <c r="AV223" s="102" t="str">
        <f t="shared" si="316"/>
        <v/>
      </c>
      <c r="AW223" s="102" t="str">
        <f t="shared" si="317"/>
        <v/>
      </c>
      <c r="AX223" s="102" t="str">
        <f t="shared" si="318"/>
        <v/>
      </c>
      <c r="AY223" s="102" t="str">
        <f t="shared" si="319"/>
        <v/>
      </c>
      <c r="AZ223" s="102"/>
      <c r="BA223" s="102">
        <f>IF(AV223&lt;&gt;0,COUNTIFS($A$7:A223,A223,$AV$7:AV223,"Quên check in"))
+IF(AW223&lt;&gt;0,COUNTIFS($A$7:A223,A223,$AW$7:AW223,"Quên check in"))
+IF(AX223&lt;&gt;0,COUNTIFS($A$7:A223,A223,$AX$7:AX223,"Quên check out"))
+IF(AY223&lt;&gt;0,COUNTIFS($A$7:A223,A223,$AY$7:AY223,"Quên check out"))</f>
        <v>1</v>
      </c>
      <c r="BB223" s="143">
        <f t="shared" si="320"/>
        <v>0</v>
      </c>
    </row>
    <row r="224" spans="1:54" s="83" customFormat="1" ht="14.1" customHeight="1" x14ac:dyDescent="0.3">
      <c r="A224" s="103" t="s">
        <v>11</v>
      </c>
      <c r="B224" s="104" t="s">
        <v>20</v>
      </c>
      <c r="C224" s="105">
        <v>4700000</v>
      </c>
      <c r="D224" s="106">
        <v>43467</v>
      </c>
      <c r="E224" s="107">
        <v>43617</v>
      </c>
      <c r="F224" s="107">
        <v>73415</v>
      </c>
      <c r="G224" s="105">
        <v>26</v>
      </c>
      <c r="H224" s="105">
        <f t="shared" si="357"/>
        <v>6</v>
      </c>
      <c r="I224" s="105"/>
      <c r="J224" s="108">
        <v>43791</v>
      </c>
      <c r="K224" s="108" t="str">
        <f t="shared" si="348"/>
        <v>NV12243791VàoSáng</v>
      </c>
      <c r="L224" s="102" t="str">
        <f>IFERROR(VLOOKUP(K224,'1. Vân tay'!$F:$G,2,0),0)</f>
        <v>08:02:27</v>
      </c>
      <c r="M224" s="108" t="str">
        <f t="shared" si="349"/>
        <v>NV12243791RaSáng</v>
      </c>
      <c r="N224" s="102">
        <f>IFERROR(VLOOKUP(M224,'1. Vân tay'!$F:$G,2,0),0)</f>
        <v>0</v>
      </c>
      <c r="O224" s="108" t="str">
        <f t="shared" si="350"/>
        <v>NV12243791VàoChiều</v>
      </c>
      <c r="P224" s="102">
        <f>IFERROR(VLOOKUP(O224,'1. Vân tay'!$F:$G,2,0),0)</f>
        <v>0</v>
      </c>
      <c r="Q224" s="108" t="str">
        <f t="shared" si="351"/>
        <v>NV12243791RaChiều</v>
      </c>
      <c r="R224" s="102" t="str">
        <f>IFERROR(VLOOKUP(Q224,'1. Vân tay'!$F:$G,2,0),0)</f>
        <v>17:37:21</v>
      </c>
      <c r="S224" s="102">
        <f t="shared" si="358"/>
        <v>0</v>
      </c>
      <c r="T224" s="109">
        <v>0.33333333333333331</v>
      </c>
      <c r="U224" s="109">
        <v>0.5</v>
      </c>
      <c r="V224" s="109">
        <v>0.5625</v>
      </c>
      <c r="W224" s="109">
        <v>0.72916666666666663</v>
      </c>
      <c r="X224" s="102">
        <f>HDSD!$F$4</f>
        <v>5</v>
      </c>
      <c r="Y224" s="102">
        <f>SUMIFS('2. Đi muộn về sớm'!$K:$K,
'2. Đi muộn về sớm'!$B:$B,$A224,
'2. Đi muộn về sớm'!$D:$D,$J224)</f>
        <v>0</v>
      </c>
      <c r="Z224" s="110">
        <f t="shared" si="352"/>
        <v>2.4500000000000002</v>
      </c>
      <c r="AA224" s="110">
        <f t="shared" si="353"/>
        <v>0</v>
      </c>
      <c r="AB224" s="111">
        <f t="shared" si="354"/>
        <v>2.4500000000000002</v>
      </c>
      <c r="AC224" s="112">
        <f t="shared" si="307"/>
        <v>0</v>
      </c>
      <c r="AD224" s="113">
        <f t="shared" si="308"/>
        <v>0</v>
      </c>
      <c r="AE224" s="111">
        <f t="shared" si="355"/>
        <v>0</v>
      </c>
      <c r="AF224" s="113">
        <f t="shared" si="309"/>
        <v>0</v>
      </c>
      <c r="AG224" s="113">
        <f t="shared" si="310"/>
        <v>0</v>
      </c>
      <c r="AH224" s="114">
        <f t="shared" si="347"/>
        <v>9.581666666666667</v>
      </c>
      <c r="AI224" s="102" t="str">
        <f t="shared" si="311"/>
        <v>X:8</v>
      </c>
      <c r="AJ224" s="102" t="str">
        <f t="shared" si="312"/>
        <v>NV12243791</v>
      </c>
      <c r="AK224" s="102" t="str">
        <f>IF(OR(J224&lt;D224,J224&gt;F224),"",
IFERROR(INDEX('3. Đơn xin nghỉ'!$K:$K,MATCH('4. Tổng hợp dữ liệu'!AJ224,'3. Đơn xin nghỉ'!$I:$I,0),1),
IF(AND(AU224="Không CC",I224&lt;&gt;1),"Ro:8","")))</f>
        <v/>
      </c>
      <c r="AL224" s="102" t="str">
        <f t="shared" si="313"/>
        <v/>
      </c>
      <c r="AM224" s="102" t="str">
        <f t="shared" si="359"/>
        <v>X:8</v>
      </c>
      <c r="AN224" s="102" t="s">
        <v>92</v>
      </c>
      <c r="AO224" s="102"/>
      <c r="AP224" s="115">
        <f>IFERROR(VLOOKUP(AN224,'Quy đổi công'!A:D,3,0),0)</f>
        <v>1</v>
      </c>
      <c r="AQ224" s="115">
        <f>IFERROR(VLOOKUP(AN224,'Quy đổi công'!A:D,4,0),0)</f>
        <v>0</v>
      </c>
      <c r="AR224" s="115">
        <f t="shared" si="314"/>
        <v>0</v>
      </c>
      <c r="AS224" s="115">
        <f t="shared" si="360"/>
        <v>1</v>
      </c>
      <c r="AT224" s="115">
        <f t="shared" si="356"/>
        <v>0</v>
      </c>
      <c r="AU224" s="102" t="str">
        <f t="shared" si="315"/>
        <v/>
      </c>
      <c r="AV224" s="102" t="str">
        <f t="shared" si="316"/>
        <v/>
      </c>
      <c r="AW224" s="102" t="str">
        <f t="shared" si="317"/>
        <v/>
      </c>
      <c r="AX224" s="102" t="str">
        <f t="shared" si="318"/>
        <v/>
      </c>
      <c r="AY224" s="102" t="str">
        <f t="shared" si="319"/>
        <v/>
      </c>
      <c r="AZ224" s="102"/>
      <c r="BA224" s="102">
        <f>IF(AV224&lt;&gt;0,COUNTIFS($A$7:A224,A224,$AV$7:AV224,"Quên check in"))
+IF(AW224&lt;&gt;0,COUNTIFS($A$7:A224,A224,$AW$7:AW224,"Quên check in"))
+IF(AX224&lt;&gt;0,COUNTIFS($A$7:A224,A224,$AX$7:AX224,"Quên check out"))
+IF(AY224&lt;&gt;0,COUNTIFS($A$7:A224,A224,$AY$7:AY224,"Quên check out"))</f>
        <v>1</v>
      </c>
      <c r="BB224" s="143">
        <f t="shared" si="320"/>
        <v>0</v>
      </c>
    </row>
    <row r="225" spans="1:54" s="83" customFormat="1" ht="14.1" customHeight="1" x14ac:dyDescent="0.3">
      <c r="A225" s="103" t="s">
        <v>12</v>
      </c>
      <c r="B225" s="104" t="s">
        <v>21</v>
      </c>
      <c r="C225" s="105">
        <v>5000000</v>
      </c>
      <c r="D225" s="106">
        <v>43482</v>
      </c>
      <c r="E225" s="107">
        <v>43647</v>
      </c>
      <c r="F225" s="107">
        <v>73415</v>
      </c>
      <c r="G225" s="105">
        <v>26</v>
      </c>
      <c r="H225" s="105">
        <f t="shared" si="357"/>
        <v>6</v>
      </c>
      <c r="I225" s="105"/>
      <c r="J225" s="108">
        <v>43791</v>
      </c>
      <c r="K225" s="108" t="str">
        <f t="shared" si="348"/>
        <v>NV12343791VàoSáng</v>
      </c>
      <c r="L225" s="102" t="str">
        <f>IFERROR(VLOOKUP(K225,'1. Vân tay'!$F:$G,2,0),0)</f>
        <v>07:58:40</v>
      </c>
      <c r="M225" s="108" t="str">
        <f t="shared" si="349"/>
        <v>NV12343791RaSáng</v>
      </c>
      <c r="N225" s="102">
        <f>IFERROR(VLOOKUP(M225,'1. Vân tay'!$F:$G,2,0),0)</f>
        <v>0</v>
      </c>
      <c r="O225" s="108" t="str">
        <f t="shared" si="350"/>
        <v>NV12343791VàoChiều</v>
      </c>
      <c r="P225" s="102">
        <f>IFERROR(VLOOKUP(O225,'1. Vân tay'!$F:$G,2,0),0)</f>
        <v>0</v>
      </c>
      <c r="Q225" s="108" t="str">
        <f t="shared" si="351"/>
        <v>NV12343791RaChiều</v>
      </c>
      <c r="R225" s="102" t="str">
        <f>IFERROR(VLOOKUP(Q225,'1. Vân tay'!$F:$G,2,0),0)</f>
        <v>17:33:27</v>
      </c>
      <c r="S225" s="102">
        <f t="shared" si="358"/>
        <v>0</v>
      </c>
      <c r="T225" s="109">
        <v>0.33333333333333331</v>
      </c>
      <c r="U225" s="109">
        <v>0.5</v>
      </c>
      <c r="V225" s="109">
        <v>0.5625</v>
      </c>
      <c r="W225" s="109">
        <v>0.72916666666666663</v>
      </c>
      <c r="X225" s="102">
        <f>HDSD!$F$4</f>
        <v>5</v>
      </c>
      <c r="Y225" s="102">
        <f>SUMIFS('2. Đi muộn về sớm'!$K:$K,
'2. Đi muộn về sớm'!$B:$B,$A225,
'2. Đi muộn về sớm'!$D:$D,$J225)</f>
        <v>0</v>
      </c>
      <c r="Z225" s="110">
        <f t="shared" si="352"/>
        <v>0</v>
      </c>
      <c r="AA225" s="110">
        <f t="shared" si="353"/>
        <v>0</v>
      </c>
      <c r="AB225" s="111">
        <f t="shared" si="354"/>
        <v>0</v>
      </c>
      <c r="AC225" s="112">
        <f t="shared" si="307"/>
        <v>0</v>
      </c>
      <c r="AD225" s="113">
        <f t="shared" si="308"/>
        <v>0</v>
      </c>
      <c r="AE225" s="111">
        <f t="shared" si="355"/>
        <v>0</v>
      </c>
      <c r="AF225" s="113">
        <f t="shared" si="309"/>
        <v>0</v>
      </c>
      <c r="AG225" s="113">
        <f t="shared" si="310"/>
        <v>0</v>
      </c>
      <c r="AH225" s="114">
        <f t="shared" si="347"/>
        <v>9.5797222222222214</v>
      </c>
      <c r="AI225" s="102" t="str">
        <f t="shared" si="311"/>
        <v>X:8</v>
      </c>
      <c r="AJ225" s="102" t="str">
        <f t="shared" si="312"/>
        <v>NV12343791</v>
      </c>
      <c r="AK225" s="102" t="str">
        <f>IF(OR(J225&lt;D225,J225&gt;F225),"",
IFERROR(INDEX('3. Đơn xin nghỉ'!$K:$K,MATCH('4. Tổng hợp dữ liệu'!AJ225,'3. Đơn xin nghỉ'!$I:$I,0),1),
IF(AND(AU225="Không CC",I225&lt;&gt;1),"Ro:8","")))</f>
        <v/>
      </c>
      <c r="AL225" s="102" t="str">
        <f t="shared" si="313"/>
        <v/>
      </c>
      <c r="AM225" s="102" t="str">
        <f t="shared" si="359"/>
        <v>X:8</v>
      </c>
      <c r="AN225" s="102" t="s">
        <v>92</v>
      </c>
      <c r="AO225" s="102"/>
      <c r="AP225" s="115">
        <f>IFERROR(VLOOKUP(AN225,'Quy đổi công'!A:D,3,0),0)</f>
        <v>1</v>
      </c>
      <c r="AQ225" s="115">
        <f>IFERROR(VLOOKUP(AN225,'Quy đổi công'!A:D,4,0),0)</f>
        <v>0</v>
      </c>
      <c r="AR225" s="115">
        <f t="shared" si="314"/>
        <v>0</v>
      </c>
      <c r="AS225" s="115">
        <f t="shared" si="360"/>
        <v>1</v>
      </c>
      <c r="AT225" s="115">
        <f t="shared" si="356"/>
        <v>0</v>
      </c>
      <c r="AU225" s="102" t="str">
        <f t="shared" si="315"/>
        <v/>
      </c>
      <c r="AV225" s="102" t="str">
        <f t="shared" si="316"/>
        <v/>
      </c>
      <c r="AW225" s="102" t="str">
        <f t="shared" si="317"/>
        <v/>
      </c>
      <c r="AX225" s="102" t="str">
        <f t="shared" si="318"/>
        <v/>
      </c>
      <c r="AY225" s="102" t="str">
        <f t="shared" si="319"/>
        <v/>
      </c>
      <c r="AZ225" s="102"/>
      <c r="BA225" s="102">
        <f>IF(AV225&lt;&gt;0,COUNTIFS($A$7:A225,A225,$AV$7:AV225,"Quên check in"))
+IF(AW225&lt;&gt;0,COUNTIFS($A$7:A225,A225,$AW$7:AW225,"Quên check in"))
+IF(AX225&lt;&gt;0,COUNTIFS($A$7:A225,A225,$AX$7:AX225,"Quên check out"))
+IF(AY225&lt;&gt;0,COUNTIFS($A$7:A225,A225,$AY$7:AY225,"Quên check out"))</f>
        <v>1</v>
      </c>
      <c r="BB225" s="143">
        <f t="shared" si="320"/>
        <v>0</v>
      </c>
    </row>
    <row r="226" spans="1:54" s="83" customFormat="1" ht="14.1" customHeight="1" x14ac:dyDescent="0.3">
      <c r="A226" s="103" t="s">
        <v>13</v>
      </c>
      <c r="B226" s="104" t="s">
        <v>22</v>
      </c>
      <c r="C226" s="105">
        <v>4700000</v>
      </c>
      <c r="D226" s="106">
        <v>43531</v>
      </c>
      <c r="E226" s="107">
        <v>43647</v>
      </c>
      <c r="F226" s="107">
        <v>73415</v>
      </c>
      <c r="G226" s="105">
        <v>26</v>
      </c>
      <c r="H226" s="105">
        <f t="shared" si="357"/>
        <v>6</v>
      </c>
      <c r="I226" s="105"/>
      <c r="J226" s="108">
        <v>43791</v>
      </c>
      <c r="K226" s="108" t="str">
        <f t="shared" si="348"/>
        <v>NV12643791VàoSáng</v>
      </c>
      <c r="L226" s="102" t="str">
        <f>IFERROR(VLOOKUP(K226,'1. Vân tay'!$F:$G,2,0),0)</f>
        <v>07:56:04</v>
      </c>
      <c r="M226" s="108" t="str">
        <f t="shared" si="349"/>
        <v>NV12643791RaSáng</v>
      </c>
      <c r="N226" s="102">
        <f>IFERROR(VLOOKUP(M226,'1. Vân tay'!$F:$G,2,0),0)</f>
        <v>0</v>
      </c>
      <c r="O226" s="108" t="str">
        <f t="shared" si="350"/>
        <v>NV12643791VàoChiều</v>
      </c>
      <c r="P226" s="102">
        <f>IFERROR(VLOOKUP(O226,'1. Vân tay'!$F:$G,2,0),0)</f>
        <v>0</v>
      </c>
      <c r="Q226" s="108" t="str">
        <f t="shared" si="351"/>
        <v>NV12643791RaChiều</v>
      </c>
      <c r="R226" s="102" t="str">
        <f>IFERROR(VLOOKUP(Q226,'1. Vân tay'!$F:$G,2,0),0)</f>
        <v>17:39:12</v>
      </c>
      <c r="S226" s="102">
        <f t="shared" si="358"/>
        <v>0</v>
      </c>
      <c r="T226" s="109">
        <v>0.33333333333333331</v>
      </c>
      <c r="U226" s="109">
        <v>0.5</v>
      </c>
      <c r="V226" s="109">
        <v>0.5625</v>
      </c>
      <c r="W226" s="109">
        <v>0.72916666666666663</v>
      </c>
      <c r="X226" s="102">
        <f>HDSD!$F$4</f>
        <v>5</v>
      </c>
      <c r="Y226" s="102">
        <f>SUMIFS('2. Đi muộn về sớm'!$K:$K,
'2. Đi muộn về sớm'!$B:$B,$A226,
'2. Đi muộn về sớm'!$D:$D,$J226)</f>
        <v>0</v>
      </c>
      <c r="Z226" s="110">
        <f t="shared" si="352"/>
        <v>0</v>
      </c>
      <c r="AA226" s="110">
        <f t="shared" si="353"/>
        <v>0</v>
      </c>
      <c r="AB226" s="111">
        <f t="shared" si="354"/>
        <v>0</v>
      </c>
      <c r="AC226" s="112">
        <f t="shared" si="307"/>
        <v>0</v>
      </c>
      <c r="AD226" s="113">
        <f t="shared" si="308"/>
        <v>0</v>
      </c>
      <c r="AE226" s="111">
        <f t="shared" si="355"/>
        <v>0</v>
      </c>
      <c r="AF226" s="113">
        <f t="shared" si="309"/>
        <v>0</v>
      </c>
      <c r="AG226" s="113">
        <f t="shared" si="310"/>
        <v>0</v>
      </c>
      <c r="AH226" s="114">
        <f t="shared" si="347"/>
        <v>9.7188888888888894</v>
      </c>
      <c r="AI226" s="102" t="str">
        <f t="shared" si="311"/>
        <v>X:8</v>
      </c>
      <c r="AJ226" s="102" t="str">
        <f t="shared" si="312"/>
        <v>NV12643791</v>
      </c>
      <c r="AK226" s="102" t="str">
        <f>IF(OR(J226&lt;D226,J226&gt;F226),"",
IFERROR(INDEX('3. Đơn xin nghỉ'!$K:$K,MATCH('4. Tổng hợp dữ liệu'!AJ226,'3. Đơn xin nghỉ'!$I:$I,0),1),
IF(AND(AU226="Không CC",I226&lt;&gt;1),"Ro:8","")))</f>
        <v/>
      </c>
      <c r="AL226" s="102" t="str">
        <f t="shared" si="313"/>
        <v/>
      </c>
      <c r="AM226" s="102" t="str">
        <f t="shared" si="359"/>
        <v>X:8</v>
      </c>
      <c r="AN226" s="102" t="s">
        <v>92</v>
      </c>
      <c r="AO226" s="102"/>
      <c r="AP226" s="115">
        <f>IFERROR(VLOOKUP(AN226,'Quy đổi công'!A:D,3,0),0)</f>
        <v>1</v>
      </c>
      <c r="AQ226" s="115">
        <f>IFERROR(VLOOKUP(AN226,'Quy đổi công'!A:D,4,0),0)</f>
        <v>0</v>
      </c>
      <c r="AR226" s="115">
        <f t="shared" si="314"/>
        <v>0</v>
      </c>
      <c r="AS226" s="115">
        <f t="shared" si="360"/>
        <v>1</v>
      </c>
      <c r="AT226" s="115">
        <f t="shared" si="356"/>
        <v>0</v>
      </c>
      <c r="AU226" s="102" t="str">
        <f t="shared" si="315"/>
        <v/>
      </c>
      <c r="AV226" s="102" t="str">
        <f t="shared" si="316"/>
        <v/>
      </c>
      <c r="AW226" s="102" t="str">
        <f t="shared" si="317"/>
        <v/>
      </c>
      <c r="AX226" s="102" t="str">
        <f t="shared" si="318"/>
        <v/>
      </c>
      <c r="AY226" s="102" t="str">
        <f t="shared" si="319"/>
        <v/>
      </c>
      <c r="AZ226" s="102"/>
      <c r="BA226" s="102">
        <f>IF(AV226&lt;&gt;0,COUNTIFS($A$7:A226,A226,$AV$7:AV226,"Quên check in"))
+IF(AW226&lt;&gt;0,COUNTIFS($A$7:A226,A226,$AW$7:AW226,"Quên check in"))
+IF(AX226&lt;&gt;0,COUNTIFS($A$7:A226,A226,$AX$7:AX226,"Quên check out"))
+IF(AY226&lt;&gt;0,COUNTIFS($A$7:A226,A226,$AY$7:AY226,"Quên check out"))</f>
        <v>0</v>
      </c>
      <c r="BB226" s="143">
        <f t="shared" si="320"/>
        <v>0</v>
      </c>
    </row>
    <row r="227" spans="1:54" s="83" customFormat="1" ht="14.1" customHeight="1" x14ac:dyDescent="0.3">
      <c r="A227" s="103" t="s">
        <v>4</v>
      </c>
      <c r="B227" s="104" t="s">
        <v>14</v>
      </c>
      <c r="C227" s="105">
        <v>4700000</v>
      </c>
      <c r="D227" s="106">
        <v>43388</v>
      </c>
      <c r="E227" s="107">
        <v>43525</v>
      </c>
      <c r="F227" s="107">
        <v>73415</v>
      </c>
      <c r="G227" s="105">
        <v>26</v>
      </c>
      <c r="H227" s="105">
        <f t="shared" ref="H227:H236" si="361">WEEKDAY(J227,1)</f>
        <v>7</v>
      </c>
      <c r="I227" s="105"/>
      <c r="J227" s="108">
        <v>43792</v>
      </c>
      <c r="K227" s="108" t="str">
        <f t="shared" ref="K227:K236" si="362">$A227&amp;$J227&amp;"Vào"&amp;"Sáng"</f>
        <v>NV10143792VàoSáng</v>
      </c>
      <c r="L227" s="102" t="str">
        <f>IFERROR(VLOOKUP(K227,'1. Vân tay'!$F:$G,2,0),0)</f>
        <v>07:59:30</v>
      </c>
      <c r="M227" s="108" t="str">
        <f t="shared" ref="M227:M236" si="363">$A227&amp;$J227&amp;"Ra"&amp;"Sáng"</f>
        <v>NV10143792RaSáng</v>
      </c>
      <c r="N227" s="102">
        <f>IFERROR(VLOOKUP(M227,'1. Vân tay'!$F:$G,2,0),0)</f>
        <v>0</v>
      </c>
      <c r="O227" s="108" t="str">
        <f t="shared" ref="O227:O236" si="364">$A227&amp;$J227&amp;"Vào"&amp;"Chiều"</f>
        <v>NV10143792VàoChiều</v>
      </c>
      <c r="P227" s="102">
        <f>IFERROR(VLOOKUP(O227,'1. Vân tay'!$F:$G,2,0),0)</f>
        <v>0</v>
      </c>
      <c r="Q227" s="108" t="str">
        <f t="shared" ref="Q227:Q236" si="365">$A227&amp;$J227&amp;"Ra"&amp;"Chiều"</f>
        <v>NV10143792RaChiều</v>
      </c>
      <c r="R227" s="102" t="str">
        <f>IFERROR(VLOOKUP(Q227,'1. Vân tay'!$F:$G,2,0),0)</f>
        <v>17:32:17</v>
      </c>
      <c r="S227" s="102">
        <f t="shared" ref="S227:S236" si="366">IF(OR(
(AND(L227&lt;&gt;0,P227&lt;&gt;0)),
(AND(N227&lt;&gt;0,R227&lt;&gt;0))),"Kiểm tra",0)</f>
        <v>0</v>
      </c>
      <c r="T227" s="109">
        <v>0.33333333333333331</v>
      </c>
      <c r="U227" s="109">
        <v>0.5</v>
      </c>
      <c r="V227" s="109">
        <v>0.5625</v>
      </c>
      <c r="W227" s="109">
        <v>0.72916666666666663</v>
      </c>
      <c r="X227" s="102">
        <f>HDSD!$F$4</f>
        <v>5</v>
      </c>
      <c r="Y227" s="102">
        <f>SUMIFS('2. Đi muộn về sớm'!$K:$K,
'2. Đi muộn về sớm'!$B:$B,$A227,
'2. Đi muộn về sớm'!$D:$D,$J227)</f>
        <v>0</v>
      </c>
      <c r="Z227" s="110">
        <f t="shared" ref="Z227:Z236" si="367">IF(L227=0,0,IFERROR((HOUR(L227-T227)*60+MINUTE(L227-T227)+SECOND(L227-T227)/60),0))
+IF(N227=0,0, IFERROR((HOUR(U227-N227)*60+MINUTE(U227-N227)+SECOND(U227-N227)/60),0))
+IF(P227=0,0, IFERROR((HOUR(P227-V227)*60+MINUTE(P227-V227)+SECOND(P227-V227)/60),0))
+IF(R227=0,0, IFERROR((HOUR(W227-R227)*60+MINUTE(W227-R227)+SECOND(W227-R227)/60),0))</f>
        <v>0</v>
      </c>
      <c r="AA227" s="110">
        <f t="shared" ref="AA227:AA236" si="368">IF(L227=0,0,IFERROR((HOUR(L227-"09:00:00")*60+MINUTE(L227-"09:00:00")+SECOND(L227-"09:00:00")/60),0))
+IF(N227=0,0, IFERROR((HOUR(U227-N227)*60+MINUTE(U227-N227)+SECOND(U227-N227)/60),0))
+IF(P227=0,0, IFERROR((HOUR(P227-V227)*60+MINUTE(P227-V227)+SECOND(P227-V227)/60),0))
+IF(R227=0,0, IFERROR((HOUR("16:30:00"-R227)*60+MINUTE("16:30:00"-R227)+SECOND("16:30:00"-R227)/60),0))</f>
        <v>0</v>
      </c>
      <c r="AB227" s="111">
        <f t="shared" ref="AB227:AB236" si="369">Z227-AA227</f>
        <v>0</v>
      </c>
      <c r="AC227" s="112">
        <f t="shared" si="307"/>
        <v>0</v>
      </c>
      <c r="AD227" s="113">
        <f t="shared" si="308"/>
        <v>0</v>
      </c>
      <c r="AE227" s="111">
        <f t="shared" ref="AE227:AE236" si="370">AA227/60/8</f>
        <v>0</v>
      </c>
      <c r="AF227" s="113">
        <f t="shared" si="309"/>
        <v>0</v>
      </c>
      <c r="AG227" s="113">
        <f t="shared" si="310"/>
        <v>0</v>
      </c>
      <c r="AH227" s="114">
        <f t="shared" si="347"/>
        <v>9.5463888888888881</v>
      </c>
      <c r="AI227" s="102" t="str">
        <f t="shared" si="311"/>
        <v>X:8</v>
      </c>
      <c r="AJ227" s="102" t="str">
        <f t="shared" si="312"/>
        <v>NV10143792</v>
      </c>
      <c r="AK227" s="102" t="str">
        <f>IF(OR(J227&lt;D227,J227&gt;F227),"",
IFERROR(INDEX('3. Đơn xin nghỉ'!$K:$K,MATCH('4. Tổng hợp dữ liệu'!AJ227,'3. Đơn xin nghỉ'!$I:$I,0),1),
IF(AND(AU227="Không CC",I227&lt;&gt;1),"Ro:8","")))</f>
        <v/>
      </c>
      <c r="AL227" s="102" t="str">
        <f t="shared" si="313"/>
        <v/>
      </c>
      <c r="AM227" s="102" t="str">
        <f t="shared" ref="AM227:AM236" si="371">IF(OR(AI227="",AK227=""),AI227&amp;AK227,AI227&amp;","&amp;AK227)&amp;AL227</f>
        <v>X:8</v>
      </c>
      <c r="AN227" s="102" t="s">
        <v>92</v>
      </c>
      <c r="AO227" s="102"/>
      <c r="AP227" s="115">
        <f>IFERROR(VLOOKUP(AN227,'Quy đổi công'!A:D,3,0),0)</f>
        <v>1</v>
      </c>
      <c r="AQ227" s="115">
        <f>IFERROR(VLOOKUP(AN227,'Quy đổi công'!A:D,4,0),0)</f>
        <v>0</v>
      </c>
      <c r="AR227" s="115">
        <f t="shared" si="314"/>
        <v>0</v>
      </c>
      <c r="AS227" s="115">
        <f t="shared" ref="AS227:AS236" si="372">AP227-AR227</f>
        <v>1</v>
      </c>
      <c r="AT227" s="115">
        <f t="shared" ref="AT227:AT236" si="373">IF(AN227="P8",1)
+IF(OR(AN227="X:4,P:4",AN227="P:4,Rv:4",AN227="P:4,Ro:4"),1/2)</f>
        <v>0</v>
      </c>
      <c r="AU227" s="102" t="str">
        <f t="shared" si="315"/>
        <v/>
      </c>
      <c r="AV227" s="102" t="str">
        <f t="shared" si="316"/>
        <v/>
      </c>
      <c r="AW227" s="102" t="str">
        <f t="shared" si="317"/>
        <v/>
      </c>
      <c r="AX227" s="102" t="str">
        <f t="shared" si="318"/>
        <v/>
      </c>
      <c r="AY227" s="102" t="str">
        <f t="shared" si="319"/>
        <v/>
      </c>
      <c r="AZ227" s="102"/>
      <c r="BA227" s="102">
        <f>IF(AV227&lt;&gt;0,COUNTIFS($A$7:A227,A227,$AV$7:AV227,"Quên check in"))
+IF(AW227&lt;&gt;0,COUNTIFS($A$7:A227,A227,$AW$7:AW227,"Quên check in"))
+IF(AX227&lt;&gt;0,COUNTIFS($A$7:A227,A227,$AX$7:AX227,"Quên check out"))
+IF(AY227&lt;&gt;0,COUNTIFS($A$7:A227,A227,$AY$7:AY227,"Quên check out"))</f>
        <v>0</v>
      </c>
      <c r="BB227" s="143">
        <f t="shared" si="320"/>
        <v>0</v>
      </c>
    </row>
    <row r="228" spans="1:54" s="83" customFormat="1" ht="14.1" customHeight="1" x14ac:dyDescent="0.3">
      <c r="A228" s="103" t="s">
        <v>5</v>
      </c>
      <c r="B228" s="104" t="s">
        <v>28</v>
      </c>
      <c r="C228" s="105">
        <v>10000000</v>
      </c>
      <c r="D228" s="106">
        <v>43409</v>
      </c>
      <c r="E228" s="107">
        <v>43678</v>
      </c>
      <c r="F228" s="107">
        <v>73415</v>
      </c>
      <c r="G228" s="105">
        <v>26</v>
      </c>
      <c r="H228" s="105">
        <f t="shared" si="361"/>
        <v>7</v>
      </c>
      <c r="I228" s="105"/>
      <c r="J228" s="108">
        <v>43792</v>
      </c>
      <c r="K228" s="108" t="str">
        <f t="shared" si="362"/>
        <v>NV10743792VàoSáng</v>
      </c>
      <c r="L228" s="102" t="str">
        <f>IFERROR(VLOOKUP(K228,'1. Vân tay'!$F:$G,2,0),0)</f>
        <v>08:02:57</v>
      </c>
      <c r="M228" s="108" t="str">
        <f t="shared" si="363"/>
        <v>NV10743792RaSáng</v>
      </c>
      <c r="N228" s="102">
        <f>IFERROR(VLOOKUP(M228,'1. Vân tay'!$F:$G,2,0),0)</f>
        <v>0</v>
      </c>
      <c r="O228" s="108" t="str">
        <f t="shared" si="364"/>
        <v>NV10743792VàoChiều</v>
      </c>
      <c r="P228" s="102">
        <f>IFERROR(VLOOKUP(O228,'1. Vân tay'!$F:$G,2,0),0)</f>
        <v>0</v>
      </c>
      <c r="Q228" s="108" t="str">
        <f t="shared" si="365"/>
        <v>NV10743792RaChiều</v>
      </c>
      <c r="R228" s="102" t="str">
        <f>IFERROR(VLOOKUP(Q228,'1. Vân tay'!$F:$G,2,0),0)</f>
        <v>17:30:44</v>
      </c>
      <c r="S228" s="102">
        <f t="shared" si="366"/>
        <v>0</v>
      </c>
      <c r="T228" s="109">
        <v>0.33333333333333331</v>
      </c>
      <c r="U228" s="109">
        <v>0.5</v>
      </c>
      <c r="V228" s="109">
        <v>0.5625</v>
      </c>
      <c r="W228" s="109">
        <v>0.72916666666666663</v>
      </c>
      <c r="X228" s="102">
        <f>HDSD!$F$4</f>
        <v>5</v>
      </c>
      <c r="Y228" s="102">
        <f>SUMIFS('2. Đi muộn về sớm'!$K:$K,
'2. Đi muộn về sớm'!$B:$B,$A228,
'2. Đi muộn về sớm'!$D:$D,$J228)</f>
        <v>0</v>
      </c>
      <c r="Z228" s="110">
        <f t="shared" si="367"/>
        <v>2.95</v>
      </c>
      <c r="AA228" s="110">
        <f t="shared" si="368"/>
        <v>0</v>
      </c>
      <c r="AB228" s="111">
        <f t="shared" si="369"/>
        <v>2.95</v>
      </c>
      <c r="AC228" s="112">
        <f t="shared" si="307"/>
        <v>0</v>
      </c>
      <c r="AD228" s="113">
        <f t="shared" si="308"/>
        <v>0</v>
      </c>
      <c r="AE228" s="111">
        <f t="shared" si="370"/>
        <v>0</v>
      </c>
      <c r="AF228" s="113">
        <f t="shared" si="309"/>
        <v>0</v>
      </c>
      <c r="AG228" s="113">
        <f t="shared" si="310"/>
        <v>0</v>
      </c>
      <c r="AH228" s="114">
        <f t="shared" si="347"/>
        <v>9.4630555555555542</v>
      </c>
      <c r="AI228" s="102" t="str">
        <f t="shared" si="311"/>
        <v>X:8</v>
      </c>
      <c r="AJ228" s="102" t="str">
        <f t="shared" si="312"/>
        <v>NV10743792</v>
      </c>
      <c r="AK228" s="102" t="str">
        <f>IF(OR(J228&lt;D228,J228&gt;F228),"",
IFERROR(INDEX('3. Đơn xin nghỉ'!$K:$K,MATCH('4. Tổng hợp dữ liệu'!AJ228,'3. Đơn xin nghỉ'!$I:$I,0),1),
IF(AND(AU228="Không CC",I228&lt;&gt;1),"Ro:8","")))</f>
        <v/>
      </c>
      <c r="AL228" s="102" t="str">
        <f t="shared" si="313"/>
        <v/>
      </c>
      <c r="AM228" s="102" t="str">
        <f t="shared" si="371"/>
        <v>X:8</v>
      </c>
      <c r="AN228" s="102" t="s">
        <v>92</v>
      </c>
      <c r="AO228" s="102"/>
      <c r="AP228" s="115">
        <f>IFERROR(VLOOKUP(AN228,'Quy đổi công'!A:D,3,0),0)</f>
        <v>1</v>
      </c>
      <c r="AQ228" s="115">
        <f>IFERROR(VLOOKUP(AN228,'Quy đổi công'!A:D,4,0),0)</f>
        <v>0</v>
      </c>
      <c r="AR228" s="115">
        <f t="shared" si="314"/>
        <v>0</v>
      </c>
      <c r="AS228" s="115">
        <f t="shared" si="372"/>
        <v>1</v>
      </c>
      <c r="AT228" s="115">
        <f t="shared" si="373"/>
        <v>0</v>
      </c>
      <c r="AU228" s="102" t="str">
        <f t="shared" si="315"/>
        <v/>
      </c>
      <c r="AV228" s="102" t="str">
        <f t="shared" si="316"/>
        <v/>
      </c>
      <c r="AW228" s="102" t="str">
        <f t="shared" si="317"/>
        <v/>
      </c>
      <c r="AX228" s="102" t="str">
        <f t="shared" si="318"/>
        <v/>
      </c>
      <c r="AY228" s="102" t="str">
        <f t="shared" si="319"/>
        <v/>
      </c>
      <c r="AZ228" s="102"/>
      <c r="BA228" s="102">
        <f>IF(AV228&lt;&gt;0,COUNTIFS($A$7:A228,A228,$AV$7:AV228,"Quên check in"))
+IF(AW228&lt;&gt;0,COUNTIFS($A$7:A228,A228,$AW$7:AW228,"Quên check in"))
+IF(AX228&lt;&gt;0,COUNTIFS($A$7:A228,A228,$AX$7:AX228,"Quên check out"))
+IF(AY228&lt;&gt;0,COUNTIFS($A$7:A228,A228,$AY$7:AY228,"Quên check out"))</f>
        <v>4</v>
      </c>
      <c r="BB228" s="143">
        <f t="shared" si="320"/>
        <v>50000</v>
      </c>
    </row>
    <row r="229" spans="1:54" s="83" customFormat="1" ht="14.1" customHeight="1" x14ac:dyDescent="0.3">
      <c r="A229" s="103" t="s">
        <v>6</v>
      </c>
      <c r="B229" s="104" t="s">
        <v>15</v>
      </c>
      <c r="C229" s="105">
        <v>4700000</v>
      </c>
      <c r="D229" s="106">
        <v>43409</v>
      </c>
      <c r="E229" s="107">
        <v>43617</v>
      </c>
      <c r="F229" s="107">
        <v>73415</v>
      </c>
      <c r="G229" s="105">
        <v>26</v>
      </c>
      <c r="H229" s="105">
        <f t="shared" si="361"/>
        <v>7</v>
      </c>
      <c r="I229" s="105"/>
      <c r="J229" s="108">
        <v>43792</v>
      </c>
      <c r="K229" s="108" t="str">
        <f t="shared" si="362"/>
        <v>NV10843792VàoSáng</v>
      </c>
      <c r="L229" s="102" t="str">
        <f>IFERROR(VLOOKUP(K229,'1. Vân tay'!$F:$G,2,0),0)</f>
        <v>08:14:45</v>
      </c>
      <c r="M229" s="108" t="str">
        <f t="shared" si="363"/>
        <v>NV10843792RaSáng</v>
      </c>
      <c r="N229" s="102">
        <f>IFERROR(VLOOKUP(M229,'1. Vân tay'!$F:$G,2,0),0)</f>
        <v>0</v>
      </c>
      <c r="O229" s="108" t="str">
        <f t="shared" si="364"/>
        <v>NV10843792VàoChiều</v>
      </c>
      <c r="P229" s="102">
        <f>IFERROR(VLOOKUP(O229,'1. Vân tay'!$F:$G,2,0),0)</f>
        <v>0</v>
      </c>
      <c r="Q229" s="108" t="str">
        <f t="shared" si="365"/>
        <v>NV10843792RaChiều</v>
      </c>
      <c r="R229" s="102" t="str">
        <f>IFERROR(VLOOKUP(Q229,'1. Vân tay'!$F:$G,2,0),0)</f>
        <v>17:37:54</v>
      </c>
      <c r="S229" s="102">
        <f t="shared" si="366"/>
        <v>0</v>
      </c>
      <c r="T229" s="109">
        <v>0.33333333333333331</v>
      </c>
      <c r="U229" s="109">
        <v>0.5</v>
      </c>
      <c r="V229" s="109">
        <v>0.5625</v>
      </c>
      <c r="W229" s="109">
        <v>0.72916666666666663</v>
      </c>
      <c r="X229" s="102">
        <f>HDSD!$F$4</f>
        <v>5</v>
      </c>
      <c r="Y229" s="102">
        <f>SUMIFS('2. Đi muộn về sớm'!$K:$K,
'2. Đi muộn về sớm'!$B:$B,$A229,
'2. Đi muộn về sớm'!$D:$D,$J229)</f>
        <v>0</v>
      </c>
      <c r="Z229" s="110">
        <f t="shared" si="367"/>
        <v>14.75</v>
      </c>
      <c r="AA229" s="110">
        <f t="shared" si="368"/>
        <v>0</v>
      </c>
      <c r="AB229" s="111">
        <f t="shared" si="369"/>
        <v>14.75</v>
      </c>
      <c r="AC229" s="112">
        <f t="shared" si="307"/>
        <v>9.75</v>
      </c>
      <c r="AD229" s="113">
        <f t="shared" si="308"/>
        <v>19500</v>
      </c>
      <c r="AE229" s="111">
        <f t="shared" si="370"/>
        <v>0</v>
      </c>
      <c r="AF229" s="113">
        <f t="shared" si="309"/>
        <v>0</v>
      </c>
      <c r="AG229" s="113">
        <f t="shared" si="310"/>
        <v>19500</v>
      </c>
      <c r="AH229" s="114">
        <f t="shared" si="347"/>
        <v>9.3858333333333324</v>
      </c>
      <c r="AI229" s="102" t="str">
        <f t="shared" si="311"/>
        <v>X:8</v>
      </c>
      <c r="AJ229" s="102" t="str">
        <f t="shared" si="312"/>
        <v>NV10843792</v>
      </c>
      <c r="AK229" s="102" t="str">
        <f>IF(OR(J229&lt;D229,J229&gt;F229),"",
IFERROR(INDEX('3. Đơn xin nghỉ'!$K:$K,MATCH('4. Tổng hợp dữ liệu'!AJ229,'3. Đơn xin nghỉ'!$I:$I,0),1),
IF(AND(AU229="Không CC",I229&lt;&gt;1),"Ro:8","")))</f>
        <v/>
      </c>
      <c r="AL229" s="102" t="str">
        <f t="shared" si="313"/>
        <v/>
      </c>
      <c r="AM229" s="102" t="str">
        <f t="shared" si="371"/>
        <v>X:8</v>
      </c>
      <c r="AN229" s="102" t="s">
        <v>92</v>
      </c>
      <c r="AO229" s="102"/>
      <c r="AP229" s="115">
        <f>IFERROR(VLOOKUP(AN229,'Quy đổi công'!A:D,3,0),0)</f>
        <v>1</v>
      </c>
      <c r="AQ229" s="115">
        <f>IFERROR(VLOOKUP(AN229,'Quy đổi công'!A:D,4,0),0)</f>
        <v>0</v>
      </c>
      <c r="AR229" s="115">
        <f t="shared" si="314"/>
        <v>0</v>
      </c>
      <c r="AS229" s="115">
        <f t="shared" si="372"/>
        <v>1</v>
      </c>
      <c r="AT229" s="115">
        <f t="shared" si="373"/>
        <v>0</v>
      </c>
      <c r="AU229" s="102" t="str">
        <f t="shared" si="315"/>
        <v/>
      </c>
      <c r="AV229" s="102" t="str">
        <f t="shared" si="316"/>
        <v/>
      </c>
      <c r="AW229" s="102" t="str">
        <f t="shared" si="317"/>
        <v/>
      </c>
      <c r="AX229" s="102" t="str">
        <f t="shared" si="318"/>
        <v/>
      </c>
      <c r="AY229" s="102" t="str">
        <f t="shared" si="319"/>
        <v/>
      </c>
      <c r="AZ229" s="102"/>
      <c r="BA229" s="102">
        <f>IF(AV229&lt;&gt;0,COUNTIFS($A$7:A229,A229,$AV$7:AV229,"Quên check in"))
+IF(AW229&lt;&gt;0,COUNTIFS($A$7:A229,A229,$AW$7:AW229,"Quên check in"))
+IF(AX229&lt;&gt;0,COUNTIFS($A$7:A229,A229,$AX$7:AX229,"Quên check out"))
+IF(AY229&lt;&gt;0,COUNTIFS($A$7:A229,A229,$AY$7:AY229,"Quên check out"))</f>
        <v>0</v>
      </c>
      <c r="BB229" s="143">
        <f t="shared" si="320"/>
        <v>0</v>
      </c>
    </row>
    <row r="230" spans="1:54" s="83" customFormat="1" ht="14.1" customHeight="1" x14ac:dyDescent="0.3">
      <c r="A230" s="103" t="s">
        <v>7</v>
      </c>
      <c r="B230" s="104" t="s">
        <v>16</v>
      </c>
      <c r="C230" s="105">
        <v>5000000</v>
      </c>
      <c r="D230" s="106">
        <v>43416</v>
      </c>
      <c r="E230" s="107">
        <v>43617</v>
      </c>
      <c r="F230" s="107">
        <v>73415</v>
      </c>
      <c r="G230" s="105">
        <v>26</v>
      </c>
      <c r="H230" s="105">
        <f t="shared" si="361"/>
        <v>7</v>
      </c>
      <c r="I230" s="105"/>
      <c r="J230" s="108">
        <v>43792</v>
      </c>
      <c r="K230" s="108" t="str">
        <f t="shared" si="362"/>
        <v>NV10943792VàoSáng</v>
      </c>
      <c r="L230" s="102" t="str">
        <f>IFERROR(VLOOKUP(K230,'1. Vân tay'!$F:$G,2,0),0)</f>
        <v>07:55:56</v>
      </c>
      <c r="M230" s="108" t="str">
        <f t="shared" si="363"/>
        <v>NV10943792RaSáng</v>
      </c>
      <c r="N230" s="102">
        <f>IFERROR(VLOOKUP(M230,'1. Vân tay'!$F:$G,2,0),0)</f>
        <v>0</v>
      </c>
      <c r="O230" s="108" t="str">
        <f t="shared" si="364"/>
        <v>NV10943792VàoChiều</v>
      </c>
      <c r="P230" s="102">
        <f>IFERROR(VLOOKUP(O230,'1. Vân tay'!$F:$G,2,0),0)</f>
        <v>0</v>
      </c>
      <c r="Q230" s="108" t="str">
        <f t="shared" si="365"/>
        <v>NV10943792RaChiều</v>
      </c>
      <c r="R230" s="102" t="str">
        <f>IFERROR(VLOOKUP(Q230,'1. Vân tay'!$F:$G,2,0),0)</f>
        <v>16:31:45</v>
      </c>
      <c r="S230" s="102">
        <f t="shared" si="366"/>
        <v>0</v>
      </c>
      <c r="T230" s="109">
        <v>0.33333333333333331</v>
      </c>
      <c r="U230" s="109">
        <v>0.5</v>
      </c>
      <c r="V230" s="109">
        <v>0.5625</v>
      </c>
      <c r="W230" s="109">
        <v>0.72916666666666663</v>
      </c>
      <c r="X230" s="102">
        <f>HDSD!$F$4</f>
        <v>5</v>
      </c>
      <c r="Y230" s="102">
        <f>SUMIFS('2. Đi muộn về sớm'!$K:$K,
'2. Đi muộn về sớm'!$B:$B,$A230,
'2. Đi muộn về sớm'!$D:$D,$J230)</f>
        <v>60</v>
      </c>
      <c r="Z230" s="110">
        <f t="shared" si="367"/>
        <v>58.25</v>
      </c>
      <c r="AA230" s="110">
        <f t="shared" si="368"/>
        <v>0</v>
      </c>
      <c r="AB230" s="111">
        <f t="shared" si="369"/>
        <v>58.25</v>
      </c>
      <c r="AC230" s="112">
        <f t="shared" si="307"/>
        <v>0</v>
      </c>
      <c r="AD230" s="113">
        <f t="shared" si="308"/>
        <v>0</v>
      </c>
      <c r="AE230" s="111">
        <f t="shared" si="370"/>
        <v>0</v>
      </c>
      <c r="AF230" s="113">
        <f t="shared" si="309"/>
        <v>0</v>
      </c>
      <c r="AG230" s="113">
        <f t="shared" si="310"/>
        <v>0</v>
      </c>
      <c r="AH230" s="114">
        <f t="shared" si="347"/>
        <v>8.5969444444444445</v>
      </c>
      <c r="AI230" s="102" t="str">
        <f t="shared" si="311"/>
        <v>X:8</v>
      </c>
      <c r="AJ230" s="102" t="str">
        <f t="shared" si="312"/>
        <v>NV10943792</v>
      </c>
      <c r="AK230" s="102" t="str">
        <f>IF(OR(J230&lt;D230,J230&gt;F230),"",
IFERROR(INDEX('3. Đơn xin nghỉ'!$K:$K,MATCH('4. Tổng hợp dữ liệu'!AJ230,'3. Đơn xin nghỉ'!$I:$I,0),1),
IF(AND(AU230="Không CC",I230&lt;&gt;1),"Ro:8","")))</f>
        <v/>
      </c>
      <c r="AL230" s="102" t="str">
        <f t="shared" si="313"/>
        <v/>
      </c>
      <c r="AM230" s="102" t="str">
        <f t="shared" si="371"/>
        <v>X:8</v>
      </c>
      <c r="AN230" s="102" t="s">
        <v>92</v>
      </c>
      <c r="AO230" s="102"/>
      <c r="AP230" s="115">
        <f>IFERROR(VLOOKUP(AN230,'Quy đổi công'!A:D,3,0),0)</f>
        <v>1</v>
      </c>
      <c r="AQ230" s="115">
        <f>IFERROR(VLOOKUP(AN230,'Quy đổi công'!A:D,4,0),0)</f>
        <v>0</v>
      </c>
      <c r="AR230" s="115">
        <f t="shared" si="314"/>
        <v>0</v>
      </c>
      <c r="AS230" s="115">
        <f t="shared" si="372"/>
        <v>1</v>
      </c>
      <c r="AT230" s="115">
        <f t="shared" si="373"/>
        <v>0</v>
      </c>
      <c r="AU230" s="102" t="str">
        <f t="shared" si="315"/>
        <v/>
      </c>
      <c r="AV230" s="102" t="str">
        <f t="shared" si="316"/>
        <v/>
      </c>
      <c r="AW230" s="102" t="str">
        <f t="shared" si="317"/>
        <v/>
      </c>
      <c r="AX230" s="102" t="str">
        <f t="shared" si="318"/>
        <v/>
      </c>
      <c r="AY230" s="102" t="str">
        <f t="shared" si="319"/>
        <v/>
      </c>
      <c r="AZ230" s="102"/>
      <c r="BA230" s="102">
        <f>IF(AV230&lt;&gt;0,COUNTIFS($A$7:A230,A230,$AV$7:AV230,"Quên check in"))
+IF(AW230&lt;&gt;0,COUNTIFS($A$7:A230,A230,$AW$7:AW230,"Quên check in"))
+IF(AX230&lt;&gt;0,COUNTIFS($A$7:A230,A230,$AX$7:AX230,"Quên check out"))
+IF(AY230&lt;&gt;0,COUNTIFS($A$7:A230,A230,$AY$7:AY230,"Quên check out"))</f>
        <v>0</v>
      </c>
      <c r="BB230" s="143">
        <f t="shared" si="320"/>
        <v>0</v>
      </c>
    </row>
    <row r="231" spans="1:54" s="83" customFormat="1" ht="14.1" customHeight="1" x14ac:dyDescent="0.3">
      <c r="A231" s="103" t="s">
        <v>8</v>
      </c>
      <c r="B231" s="104" t="s">
        <v>17</v>
      </c>
      <c r="C231" s="105">
        <v>5000000</v>
      </c>
      <c r="D231" s="106">
        <v>43423</v>
      </c>
      <c r="E231" s="107">
        <v>43617</v>
      </c>
      <c r="F231" s="107">
        <v>73415</v>
      </c>
      <c r="G231" s="105">
        <v>26</v>
      </c>
      <c r="H231" s="105">
        <f t="shared" si="361"/>
        <v>7</v>
      </c>
      <c r="I231" s="105"/>
      <c r="J231" s="108">
        <v>43792</v>
      </c>
      <c r="K231" s="108" t="str">
        <f t="shared" si="362"/>
        <v>NV11343792VàoSáng</v>
      </c>
      <c r="L231" s="102" t="str">
        <f>IFERROR(VLOOKUP(K231,'1. Vân tay'!$F:$G,2,0),0)</f>
        <v>07:44:02</v>
      </c>
      <c r="M231" s="108" t="str">
        <f t="shared" si="363"/>
        <v>NV11343792RaSáng</v>
      </c>
      <c r="N231" s="102">
        <f>IFERROR(VLOOKUP(M231,'1. Vân tay'!$F:$G,2,0),0)</f>
        <v>0</v>
      </c>
      <c r="O231" s="108" t="str">
        <f t="shared" si="364"/>
        <v>NV11343792VàoChiều</v>
      </c>
      <c r="P231" s="102">
        <f>IFERROR(VLOOKUP(O231,'1. Vân tay'!$F:$G,2,0),0)</f>
        <v>0</v>
      </c>
      <c r="Q231" s="108" t="str">
        <f t="shared" si="365"/>
        <v>NV11343792RaChiều</v>
      </c>
      <c r="R231" s="102" t="str">
        <f>IFERROR(VLOOKUP(Q231,'1. Vân tay'!$F:$G,2,0),0)</f>
        <v>17:34:22</v>
      </c>
      <c r="S231" s="102">
        <f t="shared" si="366"/>
        <v>0</v>
      </c>
      <c r="T231" s="109">
        <v>0.33333333333333331</v>
      </c>
      <c r="U231" s="109">
        <v>0.5</v>
      </c>
      <c r="V231" s="109">
        <v>0.5625</v>
      </c>
      <c r="W231" s="109">
        <v>0.72916666666666663</v>
      </c>
      <c r="X231" s="102">
        <f>HDSD!$F$4</f>
        <v>5</v>
      </c>
      <c r="Y231" s="102">
        <f>SUMIFS('2. Đi muộn về sớm'!$K:$K,
'2. Đi muộn về sớm'!$B:$B,$A231,
'2. Đi muộn về sớm'!$D:$D,$J231)</f>
        <v>0</v>
      </c>
      <c r="Z231" s="110">
        <f t="shared" si="367"/>
        <v>0</v>
      </c>
      <c r="AA231" s="110">
        <f t="shared" si="368"/>
        <v>0</v>
      </c>
      <c r="AB231" s="111">
        <f t="shared" si="369"/>
        <v>0</v>
      </c>
      <c r="AC231" s="112">
        <f t="shared" si="307"/>
        <v>0</v>
      </c>
      <c r="AD231" s="113">
        <f t="shared" si="308"/>
        <v>0</v>
      </c>
      <c r="AE231" s="111">
        <f t="shared" si="370"/>
        <v>0</v>
      </c>
      <c r="AF231" s="113">
        <f t="shared" si="309"/>
        <v>0</v>
      </c>
      <c r="AG231" s="113">
        <f t="shared" si="310"/>
        <v>0</v>
      </c>
      <c r="AH231" s="114">
        <f t="shared" si="347"/>
        <v>9.8388888888888903</v>
      </c>
      <c r="AI231" s="102" t="str">
        <f t="shared" si="311"/>
        <v>X:8</v>
      </c>
      <c r="AJ231" s="102" t="str">
        <f t="shared" si="312"/>
        <v>NV11343792</v>
      </c>
      <c r="AK231" s="102" t="str">
        <f>IF(OR(J231&lt;D231,J231&gt;F231),"",
IFERROR(INDEX('3. Đơn xin nghỉ'!$K:$K,MATCH('4. Tổng hợp dữ liệu'!AJ231,'3. Đơn xin nghỉ'!$I:$I,0),1),
IF(AND(AU231="Không CC",I231&lt;&gt;1),"Ro:8","")))</f>
        <v/>
      </c>
      <c r="AL231" s="102" t="str">
        <f t="shared" si="313"/>
        <v/>
      </c>
      <c r="AM231" s="102" t="str">
        <f t="shared" si="371"/>
        <v>X:8</v>
      </c>
      <c r="AN231" s="102" t="s">
        <v>92</v>
      </c>
      <c r="AO231" s="102"/>
      <c r="AP231" s="115">
        <f>IFERROR(VLOOKUP(AN231,'Quy đổi công'!A:D,3,0),0)</f>
        <v>1</v>
      </c>
      <c r="AQ231" s="115">
        <f>IFERROR(VLOOKUP(AN231,'Quy đổi công'!A:D,4,0),0)</f>
        <v>0</v>
      </c>
      <c r="AR231" s="115">
        <f t="shared" si="314"/>
        <v>0</v>
      </c>
      <c r="AS231" s="115">
        <f t="shared" si="372"/>
        <v>1</v>
      </c>
      <c r="AT231" s="115">
        <f t="shared" si="373"/>
        <v>0</v>
      </c>
      <c r="AU231" s="102" t="str">
        <f t="shared" si="315"/>
        <v/>
      </c>
      <c r="AV231" s="102" t="str">
        <f t="shared" si="316"/>
        <v/>
      </c>
      <c r="AW231" s="102" t="str">
        <f t="shared" si="317"/>
        <v/>
      </c>
      <c r="AX231" s="102" t="str">
        <f t="shared" si="318"/>
        <v/>
      </c>
      <c r="AY231" s="102" t="str">
        <f t="shared" si="319"/>
        <v/>
      </c>
      <c r="AZ231" s="102"/>
      <c r="BA231" s="102">
        <f>IF(AV231&lt;&gt;0,COUNTIFS($A$7:A231,A231,$AV$7:AV231,"Quên check in"))
+IF(AW231&lt;&gt;0,COUNTIFS($A$7:A231,A231,$AW$7:AW231,"Quên check in"))
+IF(AX231&lt;&gt;0,COUNTIFS($A$7:A231,A231,$AX$7:AX231,"Quên check out"))
+IF(AY231&lt;&gt;0,COUNTIFS($A$7:A231,A231,$AY$7:AY231,"Quên check out"))</f>
        <v>1</v>
      </c>
      <c r="BB231" s="143">
        <f t="shared" si="320"/>
        <v>0</v>
      </c>
    </row>
    <row r="232" spans="1:54" s="83" customFormat="1" ht="14.1" customHeight="1" x14ac:dyDescent="0.3">
      <c r="A232" s="103" t="s">
        <v>9</v>
      </c>
      <c r="B232" s="104" t="s">
        <v>18</v>
      </c>
      <c r="C232" s="105">
        <v>4900000</v>
      </c>
      <c r="D232" s="106">
        <v>43437</v>
      </c>
      <c r="E232" s="107">
        <v>43617</v>
      </c>
      <c r="F232" s="107">
        <v>73415</v>
      </c>
      <c r="G232" s="105">
        <v>26</v>
      </c>
      <c r="H232" s="105">
        <f t="shared" si="361"/>
        <v>7</v>
      </c>
      <c r="I232" s="105"/>
      <c r="J232" s="108">
        <v>43792</v>
      </c>
      <c r="K232" s="108" t="str">
        <f t="shared" si="362"/>
        <v>NV11443792VàoSáng</v>
      </c>
      <c r="L232" s="102" t="str">
        <f>IFERROR(VLOOKUP(K232,'1. Vân tay'!$F:$G,2,0),0)</f>
        <v>08:06:20</v>
      </c>
      <c r="M232" s="108" t="str">
        <f t="shared" si="363"/>
        <v>NV11443792RaSáng</v>
      </c>
      <c r="N232" s="102">
        <f>IFERROR(VLOOKUP(M232,'1. Vân tay'!$F:$G,2,0),0)</f>
        <v>0</v>
      </c>
      <c r="O232" s="108" t="str">
        <f t="shared" si="364"/>
        <v>NV11443792VàoChiều</v>
      </c>
      <c r="P232" s="102">
        <f>IFERROR(VLOOKUP(O232,'1. Vân tay'!$F:$G,2,0),0)</f>
        <v>0</v>
      </c>
      <c r="Q232" s="108" t="str">
        <f t="shared" si="365"/>
        <v>NV11443792RaChiều</v>
      </c>
      <c r="R232" s="102" t="str">
        <f>IFERROR(VLOOKUP(Q232,'1. Vân tay'!$F:$G,2,0),0)</f>
        <v>17:33:23</v>
      </c>
      <c r="S232" s="102">
        <f t="shared" si="366"/>
        <v>0</v>
      </c>
      <c r="T232" s="109">
        <v>0.33333333333333331</v>
      </c>
      <c r="U232" s="109">
        <v>0.5</v>
      </c>
      <c r="V232" s="109">
        <v>0.5625</v>
      </c>
      <c r="W232" s="109">
        <v>0.72916666666666663</v>
      </c>
      <c r="X232" s="102">
        <f>HDSD!$F$4</f>
        <v>5</v>
      </c>
      <c r="Y232" s="102">
        <f>SUMIFS('2. Đi muộn về sớm'!$K:$K,
'2. Đi muộn về sớm'!$B:$B,$A232,
'2. Đi muộn về sớm'!$D:$D,$J232)</f>
        <v>0</v>
      </c>
      <c r="Z232" s="110">
        <f t="shared" si="367"/>
        <v>6.333333333333333</v>
      </c>
      <c r="AA232" s="110">
        <f t="shared" si="368"/>
        <v>0</v>
      </c>
      <c r="AB232" s="111">
        <f t="shared" si="369"/>
        <v>6.333333333333333</v>
      </c>
      <c r="AC232" s="112">
        <f t="shared" si="307"/>
        <v>1.333333333333333</v>
      </c>
      <c r="AD232" s="113">
        <f t="shared" si="308"/>
        <v>2666.6666666666661</v>
      </c>
      <c r="AE232" s="111">
        <f t="shared" si="370"/>
        <v>0</v>
      </c>
      <c r="AF232" s="113">
        <f t="shared" si="309"/>
        <v>0</v>
      </c>
      <c r="AG232" s="113">
        <f t="shared" si="310"/>
        <v>2666.6666666666661</v>
      </c>
      <c r="AH232" s="114">
        <f t="shared" si="347"/>
        <v>9.4508333333333319</v>
      </c>
      <c r="AI232" s="102" t="str">
        <f t="shared" si="311"/>
        <v>X:8</v>
      </c>
      <c r="AJ232" s="102" t="str">
        <f t="shared" si="312"/>
        <v>NV11443792</v>
      </c>
      <c r="AK232" s="102" t="str">
        <f>IF(OR(J232&lt;D232,J232&gt;F232),"",
IFERROR(INDEX('3. Đơn xin nghỉ'!$K:$K,MATCH('4. Tổng hợp dữ liệu'!AJ232,'3. Đơn xin nghỉ'!$I:$I,0),1),
IF(AND(AU232="Không CC",I232&lt;&gt;1),"Ro:8","")))</f>
        <v/>
      </c>
      <c r="AL232" s="102" t="str">
        <f t="shared" si="313"/>
        <v/>
      </c>
      <c r="AM232" s="102" t="str">
        <f t="shared" si="371"/>
        <v>X:8</v>
      </c>
      <c r="AN232" s="102" t="s">
        <v>92</v>
      </c>
      <c r="AO232" s="102"/>
      <c r="AP232" s="115">
        <f>IFERROR(VLOOKUP(AN232,'Quy đổi công'!A:D,3,0),0)</f>
        <v>1</v>
      </c>
      <c r="AQ232" s="115">
        <f>IFERROR(VLOOKUP(AN232,'Quy đổi công'!A:D,4,0),0)</f>
        <v>0</v>
      </c>
      <c r="AR232" s="115">
        <f t="shared" si="314"/>
        <v>0</v>
      </c>
      <c r="AS232" s="115">
        <f t="shared" si="372"/>
        <v>1</v>
      </c>
      <c r="AT232" s="115">
        <f t="shared" si="373"/>
        <v>0</v>
      </c>
      <c r="AU232" s="102" t="str">
        <f t="shared" si="315"/>
        <v/>
      </c>
      <c r="AV232" s="102" t="str">
        <f t="shared" si="316"/>
        <v/>
      </c>
      <c r="AW232" s="102" t="str">
        <f t="shared" si="317"/>
        <v/>
      </c>
      <c r="AX232" s="102" t="str">
        <f t="shared" si="318"/>
        <v/>
      </c>
      <c r="AY232" s="102" t="str">
        <f t="shared" si="319"/>
        <v/>
      </c>
      <c r="AZ232" s="102"/>
      <c r="BA232" s="102">
        <f>IF(AV232&lt;&gt;0,COUNTIFS($A$7:A232,A232,$AV$7:AV232,"Quên check in"))
+IF(AW232&lt;&gt;0,COUNTIFS($A$7:A232,A232,$AW$7:AW232,"Quên check in"))
+IF(AX232&lt;&gt;0,COUNTIFS($A$7:A232,A232,$AX$7:AX232,"Quên check out"))
+IF(AY232&lt;&gt;0,COUNTIFS($A$7:A232,A232,$AY$7:AY232,"Quên check out"))</f>
        <v>1</v>
      </c>
      <c r="BB232" s="143">
        <f t="shared" si="320"/>
        <v>0</v>
      </c>
    </row>
    <row r="233" spans="1:54" s="83" customFormat="1" ht="14.1" customHeight="1" x14ac:dyDescent="0.3">
      <c r="A233" s="103" t="s">
        <v>10</v>
      </c>
      <c r="B233" s="104" t="s">
        <v>19</v>
      </c>
      <c r="C233" s="105">
        <v>5000000</v>
      </c>
      <c r="D233" s="106">
        <v>43445</v>
      </c>
      <c r="E233" s="107">
        <v>43647</v>
      </c>
      <c r="F233" s="107">
        <v>73415</v>
      </c>
      <c r="G233" s="105">
        <v>26</v>
      </c>
      <c r="H233" s="105">
        <f t="shared" si="361"/>
        <v>7</v>
      </c>
      <c r="I233" s="105"/>
      <c r="J233" s="108">
        <v>43792</v>
      </c>
      <c r="K233" s="108" t="str">
        <f t="shared" si="362"/>
        <v>NV11843792VàoSáng</v>
      </c>
      <c r="L233" s="102" t="str">
        <f>IFERROR(VLOOKUP(K233,'1. Vân tay'!$F:$G,2,0),0)</f>
        <v>08:01:23</v>
      </c>
      <c r="M233" s="108" t="str">
        <f t="shared" si="363"/>
        <v>NV11843792RaSáng</v>
      </c>
      <c r="N233" s="102">
        <f>IFERROR(VLOOKUP(M233,'1. Vân tay'!$F:$G,2,0),0)</f>
        <v>0</v>
      </c>
      <c r="O233" s="108" t="str">
        <f t="shared" si="364"/>
        <v>NV11843792VàoChiều</v>
      </c>
      <c r="P233" s="102">
        <f>IFERROR(VLOOKUP(O233,'1. Vân tay'!$F:$G,2,0),0)</f>
        <v>0</v>
      </c>
      <c r="Q233" s="108" t="str">
        <f t="shared" si="365"/>
        <v>NV11843792RaChiều</v>
      </c>
      <c r="R233" s="102" t="str">
        <f>IFERROR(VLOOKUP(Q233,'1. Vân tay'!$F:$G,2,0),0)</f>
        <v>17:35:37</v>
      </c>
      <c r="S233" s="102">
        <f t="shared" si="366"/>
        <v>0</v>
      </c>
      <c r="T233" s="109">
        <v>0.33333333333333331</v>
      </c>
      <c r="U233" s="109">
        <v>0.5</v>
      </c>
      <c r="V233" s="109">
        <v>0.5625</v>
      </c>
      <c r="W233" s="109">
        <v>0.72916666666666663</v>
      </c>
      <c r="X233" s="102">
        <f>HDSD!$F$4</f>
        <v>5</v>
      </c>
      <c r="Y233" s="102">
        <f>SUMIFS('2. Đi muộn về sớm'!$K:$K,
'2. Đi muộn về sớm'!$B:$B,$A233,
'2. Đi muộn về sớm'!$D:$D,$J233)</f>
        <v>0</v>
      </c>
      <c r="Z233" s="110">
        <f t="shared" si="367"/>
        <v>1.3833333333333333</v>
      </c>
      <c r="AA233" s="110">
        <f t="shared" si="368"/>
        <v>0</v>
      </c>
      <c r="AB233" s="111">
        <f t="shared" si="369"/>
        <v>1.3833333333333333</v>
      </c>
      <c r="AC233" s="112">
        <f t="shared" si="307"/>
        <v>0</v>
      </c>
      <c r="AD233" s="113">
        <f t="shared" si="308"/>
        <v>0</v>
      </c>
      <c r="AE233" s="111">
        <f t="shared" si="370"/>
        <v>0</v>
      </c>
      <c r="AF233" s="113">
        <f t="shared" si="309"/>
        <v>0</v>
      </c>
      <c r="AG233" s="113">
        <f t="shared" si="310"/>
        <v>0</v>
      </c>
      <c r="AH233" s="114">
        <f t="shared" si="347"/>
        <v>9.5705555555555559</v>
      </c>
      <c r="AI233" s="102" t="str">
        <f t="shared" si="311"/>
        <v>X:8</v>
      </c>
      <c r="AJ233" s="102" t="str">
        <f t="shared" si="312"/>
        <v>NV11843792</v>
      </c>
      <c r="AK233" s="102" t="str">
        <f>IF(OR(J233&lt;D233,J233&gt;F233),"",
IFERROR(INDEX('3. Đơn xin nghỉ'!$K:$K,MATCH('4. Tổng hợp dữ liệu'!AJ233,'3. Đơn xin nghỉ'!$I:$I,0),1),
IF(AND(AU233="Không CC",I233&lt;&gt;1),"Ro:8","")))</f>
        <v/>
      </c>
      <c r="AL233" s="102" t="str">
        <f t="shared" si="313"/>
        <v/>
      </c>
      <c r="AM233" s="102" t="str">
        <f t="shared" si="371"/>
        <v>X:8</v>
      </c>
      <c r="AN233" s="102" t="s">
        <v>92</v>
      </c>
      <c r="AO233" s="102"/>
      <c r="AP233" s="115">
        <f>IFERROR(VLOOKUP(AN233,'Quy đổi công'!A:D,3,0),0)</f>
        <v>1</v>
      </c>
      <c r="AQ233" s="115">
        <f>IFERROR(VLOOKUP(AN233,'Quy đổi công'!A:D,4,0),0)</f>
        <v>0</v>
      </c>
      <c r="AR233" s="115">
        <f t="shared" si="314"/>
        <v>0</v>
      </c>
      <c r="AS233" s="115">
        <f t="shared" si="372"/>
        <v>1</v>
      </c>
      <c r="AT233" s="115">
        <f t="shared" si="373"/>
        <v>0</v>
      </c>
      <c r="AU233" s="102" t="str">
        <f t="shared" si="315"/>
        <v/>
      </c>
      <c r="AV233" s="102" t="str">
        <f t="shared" si="316"/>
        <v/>
      </c>
      <c r="AW233" s="102" t="str">
        <f t="shared" si="317"/>
        <v/>
      </c>
      <c r="AX233" s="102" t="str">
        <f t="shared" si="318"/>
        <v/>
      </c>
      <c r="AY233" s="102" t="str">
        <f t="shared" si="319"/>
        <v/>
      </c>
      <c r="AZ233" s="102"/>
      <c r="BA233" s="102">
        <f>IF(AV233&lt;&gt;0,COUNTIFS($A$7:A233,A233,$AV$7:AV233,"Quên check in"))
+IF(AW233&lt;&gt;0,COUNTIFS($A$7:A233,A233,$AW$7:AW233,"Quên check in"))
+IF(AX233&lt;&gt;0,COUNTIFS($A$7:A233,A233,$AX$7:AX233,"Quên check out"))
+IF(AY233&lt;&gt;0,COUNTIFS($A$7:A233,A233,$AY$7:AY233,"Quên check out"))</f>
        <v>1</v>
      </c>
      <c r="BB233" s="143">
        <f t="shared" si="320"/>
        <v>0</v>
      </c>
    </row>
    <row r="234" spans="1:54" s="83" customFormat="1" ht="14.1" customHeight="1" x14ac:dyDescent="0.3">
      <c r="A234" s="103" t="s">
        <v>11</v>
      </c>
      <c r="B234" s="104" t="s">
        <v>20</v>
      </c>
      <c r="C234" s="105">
        <v>4700000</v>
      </c>
      <c r="D234" s="106">
        <v>43467</v>
      </c>
      <c r="E234" s="107">
        <v>43617</v>
      </c>
      <c r="F234" s="107">
        <v>73415</v>
      </c>
      <c r="G234" s="105">
        <v>26</v>
      </c>
      <c r="H234" s="105">
        <f t="shared" si="361"/>
        <v>7</v>
      </c>
      <c r="I234" s="105"/>
      <c r="J234" s="108">
        <v>43792</v>
      </c>
      <c r="K234" s="108" t="str">
        <f t="shared" si="362"/>
        <v>NV12243792VàoSáng</v>
      </c>
      <c r="L234" s="102" t="str">
        <f>IFERROR(VLOOKUP(K234,'1. Vân tay'!$F:$G,2,0),0)</f>
        <v>07:48:42</v>
      </c>
      <c r="M234" s="108" t="str">
        <f t="shared" si="363"/>
        <v>NV12243792RaSáng</v>
      </c>
      <c r="N234" s="102">
        <f>IFERROR(VLOOKUP(M234,'1. Vân tay'!$F:$G,2,0),0)</f>
        <v>0</v>
      </c>
      <c r="O234" s="108" t="str">
        <f t="shared" si="364"/>
        <v>NV12243792VàoChiều</v>
      </c>
      <c r="P234" s="102">
        <f>IFERROR(VLOOKUP(O234,'1. Vân tay'!$F:$G,2,0),0)</f>
        <v>0</v>
      </c>
      <c r="Q234" s="108" t="str">
        <f t="shared" si="365"/>
        <v>NV12243792RaChiều</v>
      </c>
      <c r="R234" s="102" t="str">
        <f>IFERROR(VLOOKUP(Q234,'1. Vân tay'!$F:$G,2,0),0)</f>
        <v>17:33:27</v>
      </c>
      <c r="S234" s="102">
        <f t="shared" si="366"/>
        <v>0</v>
      </c>
      <c r="T234" s="109">
        <v>0.33333333333333331</v>
      </c>
      <c r="U234" s="109">
        <v>0.5</v>
      </c>
      <c r="V234" s="109">
        <v>0.5625</v>
      </c>
      <c r="W234" s="109">
        <v>0.72916666666666663</v>
      </c>
      <c r="X234" s="102">
        <f>HDSD!$F$4</f>
        <v>5</v>
      </c>
      <c r="Y234" s="102">
        <f>SUMIFS('2. Đi muộn về sớm'!$K:$K,
'2. Đi muộn về sớm'!$B:$B,$A234,
'2. Đi muộn về sớm'!$D:$D,$J234)</f>
        <v>0</v>
      </c>
      <c r="Z234" s="110">
        <f t="shared" si="367"/>
        <v>0</v>
      </c>
      <c r="AA234" s="110">
        <f t="shared" si="368"/>
        <v>0</v>
      </c>
      <c r="AB234" s="111">
        <f t="shared" si="369"/>
        <v>0</v>
      </c>
      <c r="AC234" s="112">
        <f t="shared" si="307"/>
        <v>0</v>
      </c>
      <c r="AD234" s="113">
        <f t="shared" si="308"/>
        <v>0</v>
      </c>
      <c r="AE234" s="111">
        <f t="shared" si="370"/>
        <v>0</v>
      </c>
      <c r="AF234" s="113">
        <f t="shared" si="309"/>
        <v>0</v>
      </c>
      <c r="AG234" s="113">
        <f t="shared" si="310"/>
        <v>0</v>
      </c>
      <c r="AH234" s="114">
        <f t="shared" si="347"/>
        <v>9.7458333333333318</v>
      </c>
      <c r="AI234" s="102" t="str">
        <f t="shared" si="311"/>
        <v>X:8</v>
      </c>
      <c r="AJ234" s="102" t="str">
        <f t="shared" si="312"/>
        <v>NV12243792</v>
      </c>
      <c r="AK234" s="102" t="str">
        <f>IF(OR(J234&lt;D234,J234&gt;F234),"",
IFERROR(INDEX('3. Đơn xin nghỉ'!$K:$K,MATCH('4. Tổng hợp dữ liệu'!AJ234,'3. Đơn xin nghỉ'!$I:$I,0),1),
IF(AND(AU234="Không CC",I234&lt;&gt;1),"Ro:8","")))</f>
        <v/>
      </c>
      <c r="AL234" s="102" t="str">
        <f t="shared" si="313"/>
        <v/>
      </c>
      <c r="AM234" s="102" t="str">
        <f t="shared" si="371"/>
        <v>X:8</v>
      </c>
      <c r="AN234" s="102" t="s">
        <v>92</v>
      </c>
      <c r="AO234" s="102"/>
      <c r="AP234" s="115">
        <f>IFERROR(VLOOKUP(AN234,'Quy đổi công'!A:D,3,0),0)</f>
        <v>1</v>
      </c>
      <c r="AQ234" s="115">
        <f>IFERROR(VLOOKUP(AN234,'Quy đổi công'!A:D,4,0),0)</f>
        <v>0</v>
      </c>
      <c r="AR234" s="115">
        <f t="shared" si="314"/>
        <v>0</v>
      </c>
      <c r="AS234" s="115">
        <f t="shared" si="372"/>
        <v>1</v>
      </c>
      <c r="AT234" s="115">
        <f t="shared" si="373"/>
        <v>0</v>
      </c>
      <c r="AU234" s="102" t="str">
        <f t="shared" si="315"/>
        <v/>
      </c>
      <c r="AV234" s="102" t="str">
        <f t="shared" si="316"/>
        <v/>
      </c>
      <c r="AW234" s="102" t="str">
        <f t="shared" si="317"/>
        <v/>
      </c>
      <c r="AX234" s="102" t="str">
        <f t="shared" si="318"/>
        <v/>
      </c>
      <c r="AY234" s="102" t="str">
        <f t="shared" si="319"/>
        <v/>
      </c>
      <c r="AZ234" s="102"/>
      <c r="BA234" s="102">
        <f>IF(AV234&lt;&gt;0,COUNTIFS($A$7:A234,A234,$AV$7:AV234,"Quên check in"))
+IF(AW234&lt;&gt;0,COUNTIFS($A$7:A234,A234,$AW$7:AW234,"Quên check in"))
+IF(AX234&lt;&gt;0,COUNTIFS($A$7:A234,A234,$AX$7:AX234,"Quên check out"))
+IF(AY234&lt;&gt;0,COUNTIFS($A$7:A234,A234,$AY$7:AY234,"Quên check out"))</f>
        <v>1</v>
      </c>
      <c r="BB234" s="143">
        <f t="shared" si="320"/>
        <v>0</v>
      </c>
    </row>
    <row r="235" spans="1:54" s="83" customFormat="1" ht="14.1" customHeight="1" x14ac:dyDescent="0.3">
      <c r="A235" s="103" t="s">
        <v>12</v>
      </c>
      <c r="B235" s="104" t="s">
        <v>21</v>
      </c>
      <c r="C235" s="105">
        <v>5000000</v>
      </c>
      <c r="D235" s="106">
        <v>43482</v>
      </c>
      <c r="E235" s="107">
        <v>43647</v>
      </c>
      <c r="F235" s="107">
        <v>73415</v>
      </c>
      <c r="G235" s="105">
        <v>26</v>
      </c>
      <c r="H235" s="105">
        <f t="shared" si="361"/>
        <v>7</v>
      </c>
      <c r="I235" s="105"/>
      <c r="J235" s="108">
        <v>43792</v>
      </c>
      <c r="K235" s="108" t="str">
        <f t="shared" si="362"/>
        <v>NV12343792VàoSáng</v>
      </c>
      <c r="L235" s="102" t="str">
        <f>IFERROR(VLOOKUP(K235,'1. Vân tay'!$F:$G,2,0),0)</f>
        <v>07:59:20</v>
      </c>
      <c r="M235" s="108" t="str">
        <f t="shared" si="363"/>
        <v>NV12343792RaSáng</v>
      </c>
      <c r="N235" s="102" t="str">
        <f>IFERROR(VLOOKUP(M235,'1. Vân tay'!$F:$G,2,0),0)</f>
        <v>11:06:38</v>
      </c>
      <c r="O235" s="108" t="str">
        <f t="shared" si="364"/>
        <v>NV12343792VàoChiều</v>
      </c>
      <c r="P235" s="102">
        <f>IFERROR(VLOOKUP(O235,'1. Vân tay'!$F:$G,2,0),0)</f>
        <v>0</v>
      </c>
      <c r="Q235" s="108" t="str">
        <f t="shared" si="365"/>
        <v>NV12343792RaChiều</v>
      </c>
      <c r="R235" s="102">
        <f>IFERROR(VLOOKUP(Q235,'1. Vân tay'!$F:$G,2,0),0)</f>
        <v>0</v>
      </c>
      <c r="S235" s="102">
        <f t="shared" si="366"/>
        <v>0</v>
      </c>
      <c r="T235" s="109">
        <v>0.33333333333333331</v>
      </c>
      <c r="U235" s="109">
        <v>0.5</v>
      </c>
      <c r="V235" s="109">
        <v>0.5625</v>
      </c>
      <c r="W235" s="109">
        <v>0.72916666666666663</v>
      </c>
      <c r="X235" s="102">
        <f>HDSD!$F$4</f>
        <v>5</v>
      </c>
      <c r="Y235" s="102">
        <f>SUMIFS('2. Đi muộn về sớm'!$K:$K,
'2. Đi muộn về sớm'!$B:$B,$A235,
'2. Đi muộn về sớm'!$D:$D,$J235)</f>
        <v>60</v>
      </c>
      <c r="Z235" s="110">
        <f t="shared" si="367"/>
        <v>53.366666666666667</v>
      </c>
      <c r="AA235" s="110">
        <f t="shared" si="368"/>
        <v>53.366666666666667</v>
      </c>
      <c r="AB235" s="111">
        <f t="shared" si="369"/>
        <v>0</v>
      </c>
      <c r="AC235" s="112">
        <f t="shared" si="307"/>
        <v>0</v>
      </c>
      <c r="AD235" s="113">
        <f t="shared" si="308"/>
        <v>0</v>
      </c>
      <c r="AE235" s="111">
        <f t="shared" si="370"/>
        <v>0.11118055555555556</v>
      </c>
      <c r="AF235" s="113">
        <f t="shared" si="309"/>
        <v>21380.876068376067</v>
      </c>
      <c r="AG235" s="113">
        <f t="shared" si="310"/>
        <v>21380.876068376067</v>
      </c>
      <c r="AH235" s="114">
        <f t="shared" si="347"/>
        <v>3.1216666666666666</v>
      </c>
      <c r="AI235" s="102" t="str">
        <f t="shared" si="311"/>
        <v>X:4</v>
      </c>
      <c r="AJ235" s="102" t="str">
        <f t="shared" si="312"/>
        <v>NV12343792</v>
      </c>
      <c r="AK235" s="102" t="str">
        <f>IF(OR(J235&lt;D235,J235&gt;F235),"",
IFERROR(INDEX('3. Đơn xin nghỉ'!$K:$K,MATCH('4. Tổng hợp dữ liệu'!AJ235,'3. Đơn xin nghỉ'!$I:$I,0),1),
IF(AND(AU235="Không CC",I235&lt;&gt;1),"Ro:8","")))</f>
        <v>Ro:4</v>
      </c>
      <c r="AL235" s="102" t="str">
        <f t="shared" si="313"/>
        <v/>
      </c>
      <c r="AM235" s="102" t="str">
        <f t="shared" si="371"/>
        <v>X:4,Ro:4</v>
      </c>
      <c r="AN235" s="102" t="s">
        <v>128</v>
      </c>
      <c r="AO235" s="102"/>
      <c r="AP235" s="115">
        <f>IFERROR(VLOOKUP(AN235,'Quy đổi công'!A:D,3,0),0)</f>
        <v>0.5</v>
      </c>
      <c r="AQ235" s="115">
        <f>IFERROR(VLOOKUP(AN235,'Quy đổi công'!A:D,4,0),0)</f>
        <v>0.5</v>
      </c>
      <c r="AR235" s="115">
        <f t="shared" si="314"/>
        <v>0</v>
      </c>
      <c r="AS235" s="115">
        <f t="shared" si="372"/>
        <v>0.5</v>
      </c>
      <c r="AT235" s="115">
        <f t="shared" si="373"/>
        <v>0</v>
      </c>
      <c r="AU235" s="102" t="str">
        <f t="shared" si="315"/>
        <v/>
      </c>
      <c r="AV235" s="102" t="str">
        <f t="shared" si="316"/>
        <v/>
      </c>
      <c r="AW235" s="102" t="str">
        <f t="shared" si="317"/>
        <v/>
      </c>
      <c r="AX235" s="102" t="str">
        <f t="shared" si="318"/>
        <v/>
      </c>
      <c r="AY235" s="102" t="str">
        <f t="shared" si="319"/>
        <v/>
      </c>
      <c r="AZ235" s="102"/>
      <c r="BA235" s="102">
        <f>IF(AV235&lt;&gt;0,COUNTIFS($A$7:A235,A235,$AV$7:AV235,"Quên check in"))
+IF(AW235&lt;&gt;0,COUNTIFS($A$7:A235,A235,$AW$7:AW235,"Quên check in"))
+IF(AX235&lt;&gt;0,COUNTIFS($A$7:A235,A235,$AX$7:AX235,"Quên check out"))
+IF(AY235&lt;&gt;0,COUNTIFS($A$7:A235,A235,$AY$7:AY235,"Quên check out"))</f>
        <v>1</v>
      </c>
      <c r="BB235" s="143">
        <f t="shared" si="320"/>
        <v>0</v>
      </c>
    </row>
    <row r="236" spans="1:54" s="83" customFormat="1" ht="14.1" customHeight="1" x14ac:dyDescent="0.3">
      <c r="A236" s="103" t="s">
        <v>13</v>
      </c>
      <c r="B236" s="104" t="s">
        <v>22</v>
      </c>
      <c r="C236" s="105">
        <v>4700000</v>
      </c>
      <c r="D236" s="106">
        <v>43531</v>
      </c>
      <c r="E236" s="107">
        <v>43647</v>
      </c>
      <c r="F236" s="107">
        <v>73415</v>
      </c>
      <c r="G236" s="105">
        <v>26</v>
      </c>
      <c r="H236" s="105">
        <f t="shared" si="361"/>
        <v>7</v>
      </c>
      <c r="I236" s="105"/>
      <c r="J236" s="108">
        <v>43792</v>
      </c>
      <c r="K236" s="108" t="str">
        <f t="shared" si="362"/>
        <v>NV12643792VàoSáng</v>
      </c>
      <c r="L236" s="102" t="str">
        <f>IFERROR(VLOOKUP(K236,'1. Vân tay'!$F:$G,2,0),0)</f>
        <v>07:50:09</v>
      </c>
      <c r="M236" s="108" t="str">
        <f t="shared" si="363"/>
        <v>NV12643792RaSáng</v>
      </c>
      <c r="N236" s="102">
        <f>IFERROR(VLOOKUP(M236,'1. Vân tay'!$F:$G,2,0),0)</f>
        <v>0</v>
      </c>
      <c r="O236" s="108" t="str">
        <f t="shared" si="364"/>
        <v>NV12643792VàoChiều</v>
      </c>
      <c r="P236" s="102">
        <f>IFERROR(VLOOKUP(O236,'1. Vân tay'!$F:$G,2,0),0)</f>
        <v>0</v>
      </c>
      <c r="Q236" s="108" t="str">
        <f t="shared" si="365"/>
        <v>NV12643792RaChiều</v>
      </c>
      <c r="R236" s="102" t="str">
        <f>IFERROR(VLOOKUP(Q236,'1. Vân tay'!$F:$G,2,0),0)</f>
        <v>17:32:56</v>
      </c>
      <c r="S236" s="102">
        <f t="shared" si="366"/>
        <v>0</v>
      </c>
      <c r="T236" s="109">
        <v>0.33333333333333331</v>
      </c>
      <c r="U236" s="109">
        <v>0.5</v>
      </c>
      <c r="V236" s="109">
        <v>0.5625</v>
      </c>
      <c r="W236" s="109">
        <v>0.72916666666666663</v>
      </c>
      <c r="X236" s="102">
        <f>HDSD!$F$4</f>
        <v>5</v>
      </c>
      <c r="Y236" s="102">
        <f>SUMIFS('2. Đi muộn về sớm'!$K:$K,
'2. Đi muộn về sớm'!$B:$B,$A236,
'2. Đi muộn về sớm'!$D:$D,$J236)</f>
        <v>0</v>
      </c>
      <c r="Z236" s="110">
        <f t="shared" si="367"/>
        <v>0</v>
      </c>
      <c r="AA236" s="110">
        <f t="shared" si="368"/>
        <v>0</v>
      </c>
      <c r="AB236" s="111">
        <f t="shared" si="369"/>
        <v>0</v>
      </c>
      <c r="AC236" s="112">
        <f t="shared" si="307"/>
        <v>0</v>
      </c>
      <c r="AD236" s="113">
        <f t="shared" si="308"/>
        <v>0</v>
      </c>
      <c r="AE236" s="111">
        <f t="shared" si="370"/>
        <v>0</v>
      </c>
      <c r="AF236" s="113">
        <f t="shared" si="309"/>
        <v>0</v>
      </c>
      <c r="AG236" s="113">
        <f t="shared" si="310"/>
        <v>0</v>
      </c>
      <c r="AH236" s="114">
        <f t="shared" si="347"/>
        <v>9.7130555555555542</v>
      </c>
      <c r="AI236" s="102" t="str">
        <f t="shared" si="311"/>
        <v>X:8</v>
      </c>
      <c r="AJ236" s="102" t="str">
        <f t="shared" si="312"/>
        <v>NV12643792</v>
      </c>
      <c r="AK236" s="102" t="str">
        <f>IF(OR(J236&lt;D236,J236&gt;F236),"",
IFERROR(INDEX('3. Đơn xin nghỉ'!$K:$K,MATCH('4. Tổng hợp dữ liệu'!AJ236,'3. Đơn xin nghỉ'!$I:$I,0),1),
IF(AND(AU236="Không CC",I236&lt;&gt;1),"Ro:8","")))</f>
        <v/>
      </c>
      <c r="AL236" s="102" t="str">
        <f t="shared" si="313"/>
        <v/>
      </c>
      <c r="AM236" s="102" t="str">
        <f t="shared" si="371"/>
        <v>X:8</v>
      </c>
      <c r="AN236" s="102" t="s">
        <v>92</v>
      </c>
      <c r="AO236" s="102"/>
      <c r="AP236" s="115">
        <f>IFERROR(VLOOKUP(AN236,'Quy đổi công'!A:D,3,0),0)</f>
        <v>1</v>
      </c>
      <c r="AQ236" s="115">
        <f>IFERROR(VLOOKUP(AN236,'Quy đổi công'!A:D,4,0),0)</f>
        <v>0</v>
      </c>
      <c r="AR236" s="115">
        <f t="shared" si="314"/>
        <v>0</v>
      </c>
      <c r="AS236" s="115">
        <f t="shared" si="372"/>
        <v>1</v>
      </c>
      <c r="AT236" s="115">
        <f t="shared" si="373"/>
        <v>0</v>
      </c>
      <c r="AU236" s="102" t="str">
        <f t="shared" si="315"/>
        <v/>
      </c>
      <c r="AV236" s="102" t="str">
        <f t="shared" si="316"/>
        <v/>
      </c>
      <c r="AW236" s="102" t="str">
        <f t="shared" si="317"/>
        <v/>
      </c>
      <c r="AX236" s="102" t="str">
        <f t="shared" si="318"/>
        <v/>
      </c>
      <c r="AY236" s="102" t="str">
        <f t="shared" si="319"/>
        <v/>
      </c>
      <c r="AZ236" s="102"/>
      <c r="BA236" s="102">
        <f>IF(AV236&lt;&gt;0,COUNTIFS($A$7:A236,A236,$AV$7:AV236,"Quên check in"))
+IF(AW236&lt;&gt;0,COUNTIFS($A$7:A236,A236,$AW$7:AW236,"Quên check in"))
+IF(AX236&lt;&gt;0,COUNTIFS($A$7:A236,A236,$AX$7:AX236,"Quên check out"))
+IF(AY236&lt;&gt;0,COUNTIFS($A$7:A236,A236,$AY$7:AY236,"Quên check out"))</f>
        <v>0</v>
      </c>
      <c r="BB236" s="143">
        <f t="shared" si="320"/>
        <v>0</v>
      </c>
    </row>
    <row r="237" spans="1:54" s="83" customFormat="1" ht="14.1" customHeight="1" x14ac:dyDescent="0.3">
      <c r="A237" s="103" t="s">
        <v>4</v>
      </c>
      <c r="B237" s="104" t="s">
        <v>14</v>
      </c>
      <c r="C237" s="105">
        <v>4700000</v>
      </c>
      <c r="D237" s="106">
        <v>43388</v>
      </c>
      <c r="E237" s="107">
        <v>43525</v>
      </c>
      <c r="F237" s="107">
        <v>73415</v>
      </c>
      <c r="G237" s="105">
        <v>26</v>
      </c>
      <c r="H237" s="105">
        <f t="shared" ref="H237:H246" si="374">WEEKDAY(J237,1)</f>
        <v>1</v>
      </c>
      <c r="I237" s="105">
        <v>1</v>
      </c>
      <c r="J237" s="108">
        <v>43793</v>
      </c>
      <c r="K237" s="108" t="str">
        <f t="shared" ref="K237:K246" si="375">$A237&amp;$J237&amp;"Vào"&amp;"Sáng"</f>
        <v>NV10143793VàoSáng</v>
      </c>
      <c r="L237" s="102">
        <f>IFERROR(VLOOKUP(K237,'1. Vân tay'!$F:$G,2,0),0)</f>
        <v>0</v>
      </c>
      <c r="M237" s="108" t="str">
        <f t="shared" ref="M237:M246" si="376">$A237&amp;$J237&amp;"Ra"&amp;"Sáng"</f>
        <v>NV10143793RaSáng</v>
      </c>
      <c r="N237" s="102">
        <f>IFERROR(VLOOKUP(M237,'1. Vân tay'!$F:$G,2,0),0)</f>
        <v>0</v>
      </c>
      <c r="O237" s="108" t="str">
        <f t="shared" ref="O237:O246" si="377">$A237&amp;$J237&amp;"Vào"&amp;"Chiều"</f>
        <v>NV10143793VàoChiều</v>
      </c>
      <c r="P237" s="102">
        <f>IFERROR(VLOOKUP(O237,'1. Vân tay'!$F:$G,2,0),0)</f>
        <v>0</v>
      </c>
      <c r="Q237" s="108" t="str">
        <f t="shared" ref="Q237:Q246" si="378">$A237&amp;$J237&amp;"Ra"&amp;"Chiều"</f>
        <v>NV10143793RaChiều</v>
      </c>
      <c r="R237" s="102">
        <f>IFERROR(VLOOKUP(Q237,'1. Vân tay'!$F:$G,2,0),0)</f>
        <v>0</v>
      </c>
      <c r="S237" s="102">
        <f t="shared" ref="S237:S246" si="379">IF(OR(
(AND(L237&lt;&gt;0,P237&lt;&gt;0)),
(AND(N237&lt;&gt;0,R237&lt;&gt;0))),"Kiểm tra",0)</f>
        <v>0</v>
      </c>
      <c r="T237" s="109">
        <v>0.33333333333333331</v>
      </c>
      <c r="U237" s="109">
        <v>0.5</v>
      </c>
      <c r="V237" s="109">
        <v>0.5625</v>
      </c>
      <c r="W237" s="109">
        <v>0.72916666666666663</v>
      </c>
      <c r="X237" s="102">
        <f>HDSD!$F$4</f>
        <v>5</v>
      </c>
      <c r="Y237" s="102">
        <f>SUMIFS('2. Đi muộn về sớm'!$K:$K,
'2. Đi muộn về sớm'!$B:$B,$A237,
'2. Đi muộn về sớm'!$D:$D,$J237)</f>
        <v>0</v>
      </c>
      <c r="Z237" s="110">
        <f t="shared" ref="Z237:Z246" si="380">IF(L237=0,0,IFERROR((HOUR(L237-T237)*60+MINUTE(L237-T237)+SECOND(L237-T237)/60),0))
+IF(N237=0,0, IFERROR((HOUR(U237-N237)*60+MINUTE(U237-N237)+SECOND(U237-N237)/60),0))
+IF(P237=0,0, IFERROR((HOUR(P237-V237)*60+MINUTE(P237-V237)+SECOND(P237-V237)/60),0))
+IF(R237=0,0, IFERROR((HOUR(W237-R237)*60+MINUTE(W237-R237)+SECOND(W237-R237)/60),0))</f>
        <v>0</v>
      </c>
      <c r="AA237" s="110">
        <f t="shared" ref="AA237:AA246" si="381">IF(L237=0,0,IFERROR((HOUR(L237-"09:00:00")*60+MINUTE(L237-"09:00:00")+SECOND(L237-"09:00:00")/60),0))
+IF(N237=0,0, IFERROR((HOUR(U237-N237)*60+MINUTE(U237-N237)+SECOND(U237-N237)/60),0))
+IF(P237=0,0, IFERROR((HOUR(P237-V237)*60+MINUTE(P237-V237)+SECOND(P237-V237)/60),0))
+IF(R237=0,0, IFERROR((HOUR("16:30:00"-R237)*60+MINUTE("16:30:00"-R237)+SECOND("16:30:00"-R237)/60),0))</f>
        <v>0</v>
      </c>
      <c r="AB237" s="111">
        <f t="shared" ref="AB237:AB246" si="382">Z237-AA237</f>
        <v>0</v>
      </c>
      <c r="AC237" s="112">
        <f t="shared" si="307"/>
        <v>0</v>
      </c>
      <c r="AD237" s="113">
        <f t="shared" si="308"/>
        <v>0</v>
      </c>
      <c r="AE237" s="111">
        <f t="shared" ref="AE237:AE246" si="383">AA237/60/8</f>
        <v>0</v>
      </c>
      <c r="AF237" s="113">
        <f t="shared" si="309"/>
        <v>0</v>
      </c>
      <c r="AG237" s="113">
        <f t="shared" si="310"/>
        <v>0</v>
      </c>
      <c r="AH237" s="114">
        <f t="shared" si="347"/>
        <v>0</v>
      </c>
      <c r="AI237" s="102" t="str">
        <f t="shared" si="311"/>
        <v/>
      </c>
      <c r="AJ237" s="102" t="str">
        <f t="shared" si="312"/>
        <v>NV10143793</v>
      </c>
      <c r="AK237" s="102" t="str">
        <f>IF(OR(J237&lt;D237,J237&gt;F237),"",
IFERROR(INDEX('3. Đơn xin nghỉ'!$K:$K,MATCH('4. Tổng hợp dữ liệu'!AJ237,'3. Đơn xin nghỉ'!$I:$I,0),1),
IF(AND(AU237="Không CC",I237&lt;&gt;1),"Ro:8","")))</f>
        <v/>
      </c>
      <c r="AL237" s="102" t="str">
        <f t="shared" si="313"/>
        <v>OFF</v>
      </c>
      <c r="AM237" s="102" t="str">
        <f t="shared" ref="AM237:AM246" si="384">IF(OR(AI237="",AK237=""),AI237&amp;AK237,AI237&amp;","&amp;AK237)&amp;AL237</f>
        <v>OFF</v>
      </c>
      <c r="AN237" s="102" t="s">
        <v>93</v>
      </c>
      <c r="AO237" s="102"/>
      <c r="AP237" s="115">
        <f>IFERROR(VLOOKUP(AN237,'Quy đổi công'!A:D,3,0),0)</f>
        <v>0</v>
      </c>
      <c r="AQ237" s="115">
        <f>IFERROR(VLOOKUP(AN237,'Quy đổi công'!A:D,4,0),0)</f>
        <v>0</v>
      </c>
      <c r="AR237" s="115">
        <f t="shared" si="314"/>
        <v>0</v>
      </c>
      <c r="AS237" s="115">
        <f t="shared" ref="AS237:AS246" si="385">AP237-AR237</f>
        <v>0</v>
      </c>
      <c r="AT237" s="115">
        <f t="shared" ref="AT237:AT246" si="386">IF(AN237="P8",1)
+IF(OR(AN237="X:4,P:4",AN237="P:4,Rv:4",AN237="P:4,Ro:4"),1/2)</f>
        <v>0</v>
      </c>
      <c r="AU237" s="102" t="str">
        <f t="shared" si="315"/>
        <v>Không CC</v>
      </c>
      <c r="AV237" s="102" t="str">
        <f t="shared" si="316"/>
        <v/>
      </c>
      <c r="AW237" s="102" t="str">
        <f t="shared" si="317"/>
        <v/>
      </c>
      <c r="AX237" s="102" t="str">
        <f t="shared" si="318"/>
        <v/>
      </c>
      <c r="AY237" s="102" t="str">
        <f t="shared" si="319"/>
        <v/>
      </c>
      <c r="AZ237" s="102"/>
      <c r="BA237" s="102">
        <f>IF(AV237&lt;&gt;0,COUNTIFS($A$7:A237,A237,$AV$7:AV237,"Quên check in"))
+IF(AW237&lt;&gt;0,COUNTIFS($A$7:A237,A237,$AW$7:AW237,"Quên check in"))
+IF(AX237&lt;&gt;0,COUNTIFS($A$7:A237,A237,$AX$7:AX237,"Quên check out"))
+IF(AY237&lt;&gt;0,COUNTIFS($A$7:A237,A237,$AY$7:AY237,"Quên check out"))</f>
        <v>0</v>
      </c>
      <c r="BB237" s="143">
        <f t="shared" si="320"/>
        <v>0</v>
      </c>
    </row>
    <row r="238" spans="1:54" s="83" customFormat="1" ht="14.1" customHeight="1" x14ac:dyDescent="0.3">
      <c r="A238" s="103" t="s">
        <v>5</v>
      </c>
      <c r="B238" s="104" t="s">
        <v>28</v>
      </c>
      <c r="C238" s="105">
        <v>10000000</v>
      </c>
      <c r="D238" s="106">
        <v>43409</v>
      </c>
      <c r="E238" s="107">
        <v>43678</v>
      </c>
      <c r="F238" s="107">
        <v>73415</v>
      </c>
      <c r="G238" s="105">
        <v>26</v>
      </c>
      <c r="H238" s="105">
        <f t="shared" si="374"/>
        <v>1</v>
      </c>
      <c r="I238" s="105">
        <v>1</v>
      </c>
      <c r="J238" s="108">
        <v>43793</v>
      </c>
      <c r="K238" s="108" t="str">
        <f t="shared" si="375"/>
        <v>NV10743793VàoSáng</v>
      </c>
      <c r="L238" s="102">
        <f>IFERROR(VLOOKUP(K238,'1. Vân tay'!$F:$G,2,0),0)</f>
        <v>0</v>
      </c>
      <c r="M238" s="108" t="str">
        <f t="shared" si="376"/>
        <v>NV10743793RaSáng</v>
      </c>
      <c r="N238" s="102">
        <f>IFERROR(VLOOKUP(M238,'1. Vân tay'!$F:$G,2,0),0)</f>
        <v>0</v>
      </c>
      <c r="O238" s="108" t="str">
        <f t="shared" si="377"/>
        <v>NV10743793VàoChiều</v>
      </c>
      <c r="P238" s="102">
        <f>IFERROR(VLOOKUP(O238,'1. Vân tay'!$F:$G,2,0),0)</f>
        <v>0</v>
      </c>
      <c r="Q238" s="108" t="str">
        <f t="shared" si="378"/>
        <v>NV10743793RaChiều</v>
      </c>
      <c r="R238" s="102">
        <f>IFERROR(VLOOKUP(Q238,'1. Vân tay'!$F:$G,2,0),0)</f>
        <v>0</v>
      </c>
      <c r="S238" s="102">
        <f t="shared" si="379"/>
        <v>0</v>
      </c>
      <c r="T238" s="109">
        <v>0.33333333333333331</v>
      </c>
      <c r="U238" s="109">
        <v>0.5</v>
      </c>
      <c r="V238" s="109">
        <v>0.5625</v>
      </c>
      <c r="W238" s="109">
        <v>0.72916666666666663</v>
      </c>
      <c r="X238" s="102">
        <f>HDSD!$F$4</f>
        <v>5</v>
      </c>
      <c r="Y238" s="102">
        <f>SUMIFS('2. Đi muộn về sớm'!$K:$K,
'2. Đi muộn về sớm'!$B:$B,$A238,
'2. Đi muộn về sớm'!$D:$D,$J238)</f>
        <v>0</v>
      </c>
      <c r="Z238" s="110">
        <f t="shared" si="380"/>
        <v>0</v>
      </c>
      <c r="AA238" s="110">
        <f t="shared" si="381"/>
        <v>0</v>
      </c>
      <c r="AB238" s="111">
        <f t="shared" si="382"/>
        <v>0</v>
      </c>
      <c r="AC238" s="112">
        <f t="shared" si="307"/>
        <v>0</v>
      </c>
      <c r="AD238" s="113">
        <f t="shared" si="308"/>
        <v>0</v>
      </c>
      <c r="AE238" s="111">
        <f t="shared" si="383"/>
        <v>0</v>
      </c>
      <c r="AF238" s="113">
        <f t="shared" si="309"/>
        <v>0</v>
      </c>
      <c r="AG238" s="113">
        <f t="shared" si="310"/>
        <v>0</v>
      </c>
      <c r="AH238" s="114">
        <f t="shared" si="347"/>
        <v>0</v>
      </c>
      <c r="AI238" s="102" t="str">
        <f t="shared" si="311"/>
        <v/>
      </c>
      <c r="AJ238" s="102" t="str">
        <f t="shared" si="312"/>
        <v>NV10743793</v>
      </c>
      <c r="AK238" s="102" t="str">
        <f>IF(OR(J238&lt;D238,J238&gt;F238),"",
IFERROR(INDEX('3. Đơn xin nghỉ'!$K:$K,MATCH('4. Tổng hợp dữ liệu'!AJ238,'3. Đơn xin nghỉ'!$I:$I,0),1),
IF(AND(AU238="Không CC",I238&lt;&gt;1),"Ro:8","")))</f>
        <v/>
      </c>
      <c r="AL238" s="102" t="str">
        <f t="shared" si="313"/>
        <v>OFF</v>
      </c>
      <c r="AM238" s="102" t="str">
        <f t="shared" si="384"/>
        <v>OFF</v>
      </c>
      <c r="AN238" s="102" t="s">
        <v>93</v>
      </c>
      <c r="AO238" s="102"/>
      <c r="AP238" s="115">
        <f>IFERROR(VLOOKUP(AN238,'Quy đổi công'!A:D,3,0),0)</f>
        <v>0</v>
      </c>
      <c r="AQ238" s="115">
        <f>IFERROR(VLOOKUP(AN238,'Quy đổi công'!A:D,4,0),0)</f>
        <v>0</v>
      </c>
      <c r="AR238" s="115">
        <f t="shared" si="314"/>
        <v>0</v>
      </c>
      <c r="AS238" s="115">
        <f t="shared" si="385"/>
        <v>0</v>
      </c>
      <c r="AT238" s="115">
        <f t="shared" si="386"/>
        <v>0</v>
      </c>
      <c r="AU238" s="102" t="str">
        <f t="shared" si="315"/>
        <v>Không CC</v>
      </c>
      <c r="AV238" s="102" t="str">
        <f t="shared" si="316"/>
        <v/>
      </c>
      <c r="AW238" s="102" t="str">
        <f t="shared" si="317"/>
        <v/>
      </c>
      <c r="AX238" s="102" t="str">
        <f t="shared" si="318"/>
        <v/>
      </c>
      <c r="AY238" s="102" t="str">
        <f t="shared" si="319"/>
        <v/>
      </c>
      <c r="AZ238" s="102"/>
      <c r="BA238" s="102">
        <f>IF(AV238&lt;&gt;0,COUNTIFS($A$7:A238,A238,$AV$7:AV238,"Quên check in"))
+IF(AW238&lt;&gt;0,COUNTIFS($A$7:A238,A238,$AW$7:AW238,"Quên check in"))
+IF(AX238&lt;&gt;0,COUNTIFS($A$7:A238,A238,$AX$7:AX238,"Quên check out"))
+IF(AY238&lt;&gt;0,COUNTIFS($A$7:A238,A238,$AY$7:AY238,"Quên check out"))</f>
        <v>4</v>
      </c>
      <c r="BB238" s="143">
        <f t="shared" si="320"/>
        <v>50000</v>
      </c>
    </row>
    <row r="239" spans="1:54" s="83" customFormat="1" ht="14.1" customHeight="1" x14ac:dyDescent="0.3">
      <c r="A239" s="103" t="s">
        <v>6</v>
      </c>
      <c r="B239" s="104" t="s">
        <v>15</v>
      </c>
      <c r="C239" s="105">
        <v>4700000</v>
      </c>
      <c r="D239" s="106">
        <v>43409</v>
      </c>
      <c r="E239" s="107">
        <v>43617</v>
      </c>
      <c r="F239" s="107">
        <v>73415</v>
      </c>
      <c r="G239" s="105">
        <v>26</v>
      </c>
      <c r="H239" s="105">
        <f t="shared" si="374"/>
        <v>1</v>
      </c>
      <c r="I239" s="105">
        <v>1</v>
      </c>
      <c r="J239" s="108">
        <v>43793</v>
      </c>
      <c r="K239" s="108" t="str">
        <f t="shared" si="375"/>
        <v>NV10843793VàoSáng</v>
      </c>
      <c r="L239" s="102">
        <f>IFERROR(VLOOKUP(K239,'1. Vân tay'!$F:$G,2,0),0)</f>
        <v>0</v>
      </c>
      <c r="M239" s="108" t="str">
        <f t="shared" si="376"/>
        <v>NV10843793RaSáng</v>
      </c>
      <c r="N239" s="102">
        <f>IFERROR(VLOOKUP(M239,'1. Vân tay'!$F:$G,2,0),0)</f>
        <v>0</v>
      </c>
      <c r="O239" s="108" t="str">
        <f t="shared" si="377"/>
        <v>NV10843793VàoChiều</v>
      </c>
      <c r="P239" s="102">
        <f>IFERROR(VLOOKUP(O239,'1. Vân tay'!$F:$G,2,0),0)</f>
        <v>0</v>
      </c>
      <c r="Q239" s="108" t="str">
        <f t="shared" si="378"/>
        <v>NV10843793RaChiều</v>
      </c>
      <c r="R239" s="102">
        <f>IFERROR(VLOOKUP(Q239,'1. Vân tay'!$F:$G,2,0),0)</f>
        <v>0</v>
      </c>
      <c r="S239" s="102">
        <f t="shared" si="379"/>
        <v>0</v>
      </c>
      <c r="T239" s="109">
        <v>0.33333333333333331</v>
      </c>
      <c r="U239" s="109">
        <v>0.5</v>
      </c>
      <c r="V239" s="109">
        <v>0.5625</v>
      </c>
      <c r="W239" s="109">
        <v>0.72916666666666663</v>
      </c>
      <c r="X239" s="102">
        <f>HDSD!$F$4</f>
        <v>5</v>
      </c>
      <c r="Y239" s="102">
        <f>SUMIFS('2. Đi muộn về sớm'!$K:$K,
'2. Đi muộn về sớm'!$B:$B,$A239,
'2. Đi muộn về sớm'!$D:$D,$J239)</f>
        <v>0</v>
      </c>
      <c r="Z239" s="110">
        <f t="shared" si="380"/>
        <v>0</v>
      </c>
      <c r="AA239" s="110">
        <f t="shared" si="381"/>
        <v>0</v>
      </c>
      <c r="AB239" s="111">
        <f t="shared" si="382"/>
        <v>0</v>
      </c>
      <c r="AC239" s="112">
        <f t="shared" si="307"/>
        <v>0</v>
      </c>
      <c r="AD239" s="113">
        <f t="shared" si="308"/>
        <v>0</v>
      </c>
      <c r="AE239" s="111">
        <f t="shared" si="383"/>
        <v>0</v>
      </c>
      <c r="AF239" s="113">
        <f t="shared" si="309"/>
        <v>0</v>
      </c>
      <c r="AG239" s="113">
        <f t="shared" si="310"/>
        <v>0</v>
      </c>
      <c r="AH239" s="114">
        <f t="shared" si="347"/>
        <v>0</v>
      </c>
      <c r="AI239" s="102" t="str">
        <f t="shared" si="311"/>
        <v/>
      </c>
      <c r="AJ239" s="102" t="str">
        <f t="shared" si="312"/>
        <v>NV10843793</v>
      </c>
      <c r="AK239" s="102" t="str">
        <f>IF(OR(J239&lt;D239,J239&gt;F239),"",
IFERROR(INDEX('3. Đơn xin nghỉ'!$K:$K,MATCH('4. Tổng hợp dữ liệu'!AJ239,'3. Đơn xin nghỉ'!$I:$I,0),1),
IF(AND(AU239="Không CC",I239&lt;&gt;1),"Ro:8","")))</f>
        <v/>
      </c>
      <c r="AL239" s="102" t="str">
        <f t="shared" si="313"/>
        <v>OFF</v>
      </c>
      <c r="AM239" s="102" t="str">
        <f t="shared" si="384"/>
        <v>OFF</v>
      </c>
      <c r="AN239" s="102" t="s">
        <v>93</v>
      </c>
      <c r="AO239" s="102"/>
      <c r="AP239" s="115">
        <f>IFERROR(VLOOKUP(AN239,'Quy đổi công'!A:D,3,0),0)</f>
        <v>0</v>
      </c>
      <c r="AQ239" s="115">
        <f>IFERROR(VLOOKUP(AN239,'Quy đổi công'!A:D,4,0),0)</f>
        <v>0</v>
      </c>
      <c r="AR239" s="115">
        <f t="shared" si="314"/>
        <v>0</v>
      </c>
      <c r="AS239" s="115">
        <f t="shared" si="385"/>
        <v>0</v>
      </c>
      <c r="AT239" s="115">
        <f t="shared" si="386"/>
        <v>0</v>
      </c>
      <c r="AU239" s="102" t="str">
        <f t="shared" si="315"/>
        <v>Không CC</v>
      </c>
      <c r="AV239" s="102" t="str">
        <f t="shared" si="316"/>
        <v/>
      </c>
      <c r="AW239" s="102" t="str">
        <f t="shared" si="317"/>
        <v/>
      </c>
      <c r="AX239" s="102" t="str">
        <f t="shared" si="318"/>
        <v/>
      </c>
      <c r="AY239" s="102" t="str">
        <f t="shared" si="319"/>
        <v/>
      </c>
      <c r="AZ239" s="102"/>
      <c r="BA239" s="102">
        <f>IF(AV239&lt;&gt;0,COUNTIFS($A$7:A239,A239,$AV$7:AV239,"Quên check in"))
+IF(AW239&lt;&gt;0,COUNTIFS($A$7:A239,A239,$AW$7:AW239,"Quên check in"))
+IF(AX239&lt;&gt;0,COUNTIFS($A$7:A239,A239,$AX$7:AX239,"Quên check out"))
+IF(AY239&lt;&gt;0,COUNTIFS($A$7:A239,A239,$AY$7:AY239,"Quên check out"))</f>
        <v>0</v>
      </c>
      <c r="BB239" s="143">
        <f t="shared" si="320"/>
        <v>0</v>
      </c>
    </row>
    <row r="240" spans="1:54" s="83" customFormat="1" ht="14.1" customHeight="1" x14ac:dyDescent="0.3">
      <c r="A240" s="103" t="s">
        <v>7</v>
      </c>
      <c r="B240" s="104" t="s">
        <v>16</v>
      </c>
      <c r="C240" s="105">
        <v>5000000</v>
      </c>
      <c r="D240" s="106">
        <v>43416</v>
      </c>
      <c r="E240" s="107">
        <v>43617</v>
      </c>
      <c r="F240" s="107">
        <v>73415</v>
      </c>
      <c r="G240" s="105">
        <v>26</v>
      </c>
      <c r="H240" s="105">
        <f t="shared" si="374"/>
        <v>1</v>
      </c>
      <c r="I240" s="105">
        <v>1</v>
      </c>
      <c r="J240" s="108">
        <v>43793</v>
      </c>
      <c r="K240" s="108" t="str">
        <f t="shared" si="375"/>
        <v>NV10943793VàoSáng</v>
      </c>
      <c r="L240" s="102">
        <f>IFERROR(VLOOKUP(K240,'1. Vân tay'!$F:$G,2,0),0)</f>
        <v>0</v>
      </c>
      <c r="M240" s="108" t="str">
        <f t="shared" si="376"/>
        <v>NV10943793RaSáng</v>
      </c>
      <c r="N240" s="102">
        <f>IFERROR(VLOOKUP(M240,'1. Vân tay'!$F:$G,2,0),0)</f>
        <v>0</v>
      </c>
      <c r="O240" s="108" t="str">
        <f t="shared" si="377"/>
        <v>NV10943793VàoChiều</v>
      </c>
      <c r="P240" s="102">
        <f>IFERROR(VLOOKUP(O240,'1. Vân tay'!$F:$G,2,0),0)</f>
        <v>0</v>
      </c>
      <c r="Q240" s="108" t="str">
        <f t="shared" si="378"/>
        <v>NV10943793RaChiều</v>
      </c>
      <c r="R240" s="102">
        <f>IFERROR(VLOOKUP(Q240,'1. Vân tay'!$F:$G,2,0),0)</f>
        <v>0</v>
      </c>
      <c r="S240" s="102">
        <f t="shared" si="379"/>
        <v>0</v>
      </c>
      <c r="T240" s="109">
        <v>0.33333333333333331</v>
      </c>
      <c r="U240" s="109">
        <v>0.5</v>
      </c>
      <c r="V240" s="109">
        <v>0.5625</v>
      </c>
      <c r="W240" s="109">
        <v>0.72916666666666663</v>
      </c>
      <c r="X240" s="102">
        <f>HDSD!$F$4</f>
        <v>5</v>
      </c>
      <c r="Y240" s="102">
        <f>SUMIFS('2. Đi muộn về sớm'!$K:$K,
'2. Đi muộn về sớm'!$B:$B,$A240,
'2. Đi muộn về sớm'!$D:$D,$J240)</f>
        <v>0</v>
      </c>
      <c r="Z240" s="110">
        <f t="shared" si="380"/>
        <v>0</v>
      </c>
      <c r="AA240" s="110">
        <f t="shared" si="381"/>
        <v>0</v>
      </c>
      <c r="AB240" s="111">
        <f t="shared" si="382"/>
        <v>0</v>
      </c>
      <c r="AC240" s="112">
        <f t="shared" si="307"/>
        <v>0</v>
      </c>
      <c r="AD240" s="113">
        <f t="shared" si="308"/>
        <v>0</v>
      </c>
      <c r="AE240" s="111">
        <f t="shared" si="383"/>
        <v>0</v>
      </c>
      <c r="AF240" s="113">
        <f t="shared" si="309"/>
        <v>0</v>
      </c>
      <c r="AG240" s="113">
        <f t="shared" si="310"/>
        <v>0</v>
      </c>
      <c r="AH240" s="114">
        <f t="shared" si="347"/>
        <v>0</v>
      </c>
      <c r="AI240" s="102" t="str">
        <f t="shared" si="311"/>
        <v/>
      </c>
      <c r="AJ240" s="102" t="str">
        <f t="shared" si="312"/>
        <v>NV10943793</v>
      </c>
      <c r="AK240" s="102" t="str">
        <f>IF(OR(J240&lt;D240,J240&gt;F240),"",
IFERROR(INDEX('3. Đơn xin nghỉ'!$K:$K,MATCH('4. Tổng hợp dữ liệu'!AJ240,'3. Đơn xin nghỉ'!$I:$I,0),1),
IF(AND(AU240="Không CC",I240&lt;&gt;1),"Ro:8","")))</f>
        <v/>
      </c>
      <c r="AL240" s="102" t="str">
        <f t="shared" si="313"/>
        <v>OFF</v>
      </c>
      <c r="AM240" s="102" t="str">
        <f t="shared" si="384"/>
        <v>OFF</v>
      </c>
      <c r="AN240" s="102" t="s">
        <v>93</v>
      </c>
      <c r="AO240" s="102"/>
      <c r="AP240" s="115">
        <f>IFERROR(VLOOKUP(AN240,'Quy đổi công'!A:D,3,0),0)</f>
        <v>0</v>
      </c>
      <c r="AQ240" s="115">
        <f>IFERROR(VLOOKUP(AN240,'Quy đổi công'!A:D,4,0),0)</f>
        <v>0</v>
      </c>
      <c r="AR240" s="115">
        <f t="shared" si="314"/>
        <v>0</v>
      </c>
      <c r="AS240" s="115">
        <f t="shared" si="385"/>
        <v>0</v>
      </c>
      <c r="AT240" s="115">
        <f t="shared" si="386"/>
        <v>0</v>
      </c>
      <c r="AU240" s="102" t="str">
        <f t="shared" si="315"/>
        <v>Không CC</v>
      </c>
      <c r="AV240" s="102" t="str">
        <f t="shared" si="316"/>
        <v/>
      </c>
      <c r="AW240" s="102" t="str">
        <f t="shared" si="317"/>
        <v/>
      </c>
      <c r="AX240" s="102" t="str">
        <f t="shared" si="318"/>
        <v/>
      </c>
      <c r="AY240" s="102" t="str">
        <f t="shared" si="319"/>
        <v/>
      </c>
      <c r="AZ240" s="102"/>
      <c r="BA240" s="102">
        <f>IF(AV240&lt;&gt;0,COUNTIFS($A$7:A240,A240,$AV$7:AV240,"Quên check in"))
+IF(AW240&lt;&gt;0,COUNTIFS($A$7:A240,A240,$AW$7:AW240,"Quên check in"))
+IF(AX240&lt;&gt;0,COUNTIFS($A$7:A240,A240,$AX$7:AX240,"Quên check out"))
+IF(AY240&lt;&gt;0,COUNTIFS($A$7:A240,A240,$AY$7:AY240,"Quên check out"))</f>
        <v>0</v>
      </c>
      <c r="BB240" s="143">
        <f t="shared" si="320"/>
        <v>0</v>
      </c>
    </row>
    <row r="241" spans="1:54" s="83" customFormat="1" ht="14.1" customHeight="1" x14ac:dyDescent="0.3">
      <c r="A241" s="103" t="s">
        <v>8</v>
      </c>
      <c r="B241" s="104" t="s">
        <v>17</v>
      </c>
      <c r="C241" s="105">
        <v>5000000</v>
      </c>
      <c r="D241" s="106">
        <v>43423</v>
      </c>
      <c r="E241" s="107">
        <v>43617</v>
      </c>
      <c r="F241" s="107">
        <v>73415</v>
      </c>
      <c r="G241" s="105">
        <v>26</v>
      </c>
      <c r="H241" s="105">
        <f t="shared" si="374"/>
        <v>1</v>
      </c>
      <c r="I241" s="105">
        <v>1</v>
      </c>
      <c r="J241" s="108">
        <v>43793</v>
      </c>
      <c r="K241" s="108" t="str">
        <f t="shared" si="375"/>
        <v>NV11343793VàoSáng</v>
      </c>
      <c r="L241" s="102">
        <f>IFERROR(VLOOKUP(K241,'1. Vân tay'!$F:$G,2,0),0)</f>
        <v>0</v>
      </c>
      <c r="M241" s="108" t="str">
        <f t="shared" si="376"/>
        <v>NV11343793RaSáng</v>
      </c>
      <c r="N241" s="102">
        <f>IFERROR(VLOOKUP(M241,'1. Vân tay'!$F:$G,2,0),0)</f>
        <v>0</v>
      </c>
      <c r="O241" s="108" t="str">
        <f t="shared" si="377"/>
        <v>NV11343793VàoChiều</v>
      </c>
      <c r="P241" s="102">
        <f>IFERROR(VLOOKUP(O241,'1. Vân tay'!$F:$G,2,0),0)</f>
        <v>0</v>
      </c>
      <c r="Q241" s="108" t="str">
        <f t="shared" si="378"/>
        <v>NV11343793RaChiều</v>
      </c>
      <c r="R241" s="102">
        <f>IFERROR(VLOOKUP(Q241,'1. Vân tay'!$F:$G,2,0),0)</f>
        <v>0</v>
      </c>
      <c r="S241" s="102">
        <f t="shared" si="379"/>
        <v>0</v>
      </c>
      <c r="T241" s="109">
        <v>0.33333333333333331</v>
      </c>
      <c r="U241" s="109">
        <v>0.5</v>
      </c>
      <c r="V241" s="109">
        <v>0.5625</v>
      </c>
      <c r="W241" s="109">
        <v>0.72916666666666663</v>
      </c>
      <c r="X241" s="102">
        <f>HDSD!$F$4</f>
        <v>5</v>
      </c>
      <c r="Y241" s="102">
        <f>SUMIFS('2. Đi muộn về sớm'!$K:$K,
'2. Đi muộn về sớm'!$B:$B,$A241,
'2. Đi muộn về sớm'!$D:$D,$J241)</f>
        <v>0</v>
      </c>
      <c r="Z241" s="110">
        <f t="shared" si="380"/>
        <v>0</v>
      </c>
      <c r="AA241" s="110">
        <f t="shared" si="381"/>
        <v>0</v>
      </c>
      <c r="AB241" s="111">
        <f t="shared" si="382"/>
        <v>0</v>
      </c>
      <c r="AC241" s="112">
        <f t="shared" si="307"/>
        <v>0</v>
      </c>
      <c r="AD241" s="113">
        <f t="shared" si="308"/>
        <v>0</v>
      </c>
      <c r="AE241" s="111">
        <f t="shared" si="383"/>
        <v>0</v>
      </c>
      <c r="AF241" s="113">
        <f t="shared" si="309"/>
        <v>0</v>
      </c>
      <c r="AG241" s="113">
        <f t="shared" si="310"/>
        <v>0</v>
      </c>
      <c r="AH241" s="114">
        <f t="shared" si="347"/>
        <v>0</v>
      </c>
      <c r="AI241" s="102" t="str">
        <f t="shared" si="311"/>
        <v/>
      </c>
      <c r="AJ241" s="102" t="str">
        <f t="shared" si="312"/>
        <v>NV11343793</v>
      </c>
      <c r="AK241" s="102" t="str">
        <f>IF(OR(J241&lt;D241,J241&gt;F241),"",
IFERROR(INDEX('3. Đơn xin nghỉ'!$K:$K,MATCH('4. Tổng hợp dữ liệu'!AJ241,'3. Đơn xin nghỉ'!$I:$I,0),1),
IF(AND(AU241="Không CC",I241&lt;&gt;1),"Ro:8","")))</f>
        <v/>
      </c>
      <c r="AL241" s="102" t="str">
        <f t="shared" si="313"/>
        <v>OFF</v>
      </c>
      <c r="AM241" s="102" t="str">
        <f t="shared" si="384"/>
        <v>OFF</v>
      </c>
      <c r="AN241" s="102" t="s">
        <v>93</v>
      </c>
      <c r="AO241" s="102"/>
      <c r="AP241" s="115">
        <f>IFERROR(VLOOKUP(AN241,'Quy đổi công'!A:D,3,0),0)</f>
        <v>0</v>
      </c>
      <c r="AQ241" s="115">
        <f>IFERROR(VLOOKUP(AN241,'Quy đổi công'!A:D,4,0),0)</f>
        <v>0</v>
      </c>
      <c r="AR241" s="115">
        <f t="shared" si="314"/>
        <v>0</v>
      </c>
      <c r="AS241" s="115">
        <f t="shared" si="385"/>
        <v>0</v>
      </c>
      <c r="AT241" s="115">
        <f t="shared" si="386"/>
        <v>0</v>
      </c>
      <c r="AU241" s="102" t="str">
        <f t="shared" si="315"/>
        <v>Không CC</v>
      </c>
      <c r="AV241" s="102" t="str">
        <f t="shared" si="316"/>
        <v/>
      </c>
      <c r="AW241" s="102" t="str">
        <f t="shared" si="317"/>
        <v/>
      </c>
      <c r="AX241" s="102" t="str">
        <f t="shared" si="318"/>
        <v/>
      </c>
      <c r="AY241" s="102" t="str">
        <f t="shared" si="319"/>
        <v/>
      </c>
      <c r="AZ241" s="102"/>
      <c r="BA241" s="102">
        <f>IF(AV241&lt;&gt;0,COUNTIFS($A$7:A241,A241,$AV$7:AV241,"Quên check in"))
+IF(AW241&lt;&gt;0,COUNTIFS($A$7:A241,A241,$AW$7:AW241,"Quên check in"))
+IF(AX241&lt;&gt;0,COUNTIFS($A$7:A241,A241,$AX$7:AX241,"Quên check out"))
+IF(AY241&lt;&gt;0,COUNTIFS($A$7:A241,A241,$AY$7:AY241,"Quên check out"))</f>
        <v>1</v>
      </c>
      <c r="BB241" s="143">
        <f t="shared" si="320"/>
        <v>0</v>
      </c>
    </row>
    <row r="242" spans="1:54" s="83" customFormat="1" ht="14.1" customHeight="1" x14ac:dyDescent="0.3">
      <c r="A242" s="103" t="s">
        <v>9</v>
      </c>
      <c r="B242" s="104" t="s">
        <v>18</v>
      </c>
      <c r="C242" s="105">
        <v>4900000</v>
      </c>
      <c r="D242" s="106">
        <v>43437</v>
      </c>
      <c r="E242" s="107">
        <v>43617</v>
      </c>
      <c r="F242" s="107">
        <v>73415</v>
      </c>
      <c r="G242" s="105">
        <v>26</v>
      </c>
      <c r="H242" s="105">
        <f t="shared" si="374"/>
        <v>1</v>
      </c>
      <c r="I242" s="105">
        <v>1</v>
      </c>
      <c r="J242" s="108">
        <v>43793</v>
      </c>
      <c r="K242" s="108" t="str">
        <f t="shared" si="375"/>
        <v>NV11443793VàoSáng</v>
      </c>
      <c r="L242" s="102">
        <f>IFERROR(VLOOKUP(K242,'1. Vân tay'!$F:$G,2,0),0)</f>
        <v>0</v>
      </c>
      <c r="M242" s="108" t="str">
        <f t="shared" si="376"/>
        <v>NV11443793RaSáng</v>
      </c>
      <c r="N242" s="102">
        <f>IFERROR(VLOOKUP(M242,'1. Vân tay'!$F:$G,2,0),0)</f>
        <v>0</v>
      </c>
      <c r="O242" s="108" t="str">
        <f t="shared" si="377"/>
        <v>NV11443793VàoChiều</v>
      </c>
      <c r="P242" s="102">
        <f>IFERROR(VLOOKUP(O242,'1. Vân tay'!$F:$G,2,0),0)</f>
        <v>0</v>
      </c>
      <c r="Q242" s="108" t="str">
        <f t="shared" si="378"/>
        <v>NV11443793RaChiều</v>
      </c>
      <c r="R242" s="102">
        <f>IFERROR(VLOOKUP(Q242,'1. Vân tay'!$F:$G,2,0),0)</f>
        <v>0</v>
      </c>
      <c r="S242" s="102">
        <f t="shared" si="379"/>
        <v>0</v>
      </c>
      <c r="T242" s="109">
        <v>0.33333333333333331</v>
      </c>
      <c r="U242" s="109">
        <v>0.5</v>
      </c>
      <c r="V242" s="109">
        <v>0.5625</v>
      </c>
      <c r="W242" s="109">
        <v>0.72916666666666663</v>
      </c>
      <c r="X242" s="102">
        <f>HDSD!$F$4</f>
        <v>5</v>
      </c>
      <c r="Y242" s="102">
        <f>SUMIFS('2. Đi muộn về sớm'!$K:$K,
'2. Đi muộn về sớm'!$B:$B,$A242,
'2. Đi muộn về sớm'!$D:$D,$J242)</f>
        <v>0</v>
      </c>
      <c r="Z242" s="110">
        <f t="shared" si="380"/>
        <v>0</v>
      </c>
      <c r="AA242" s="110">
        <f t="shared" si="381"/>
        <v>0</v>
      </c>
      <c r="AB242" s="111">
        <f t="shared" si="382"/>
        <v>0</v>
      </c>
      <c r="AC242" s="112">
        <f t="shared" si="307"/>
        <v>0</v>
      </c>
      <c r="AD242" s="113">
        <f t="shared" si="308"/>
        <v>0</v>
      </c>
      <c r="AE242" s="111">
        <f t="shared" si="383"/>
        <v>0</v>
      </c>
      <c r="AF242" s="113">
        <f t="shared" si="309"/>
        <v>0</v>
      </c>
      <c r="AG242" s="113">
        <f t="shared" si="310"/>
        <v>0</v>
      </c>
      <c r="AH242" s="114">
        <f t="shared" si="347"/>
        <v>0</v>
      </c>
      <c r="AI242" s="102" t="str">
        <f t="shared" si="311"/>
        <v/>
      </c>
      <c r="AJ242" s="102" t="str">
        <f t="shared" si="312"/>
        <v>NV11443793</v>
      </c>
      <c r="AK242" s="102" t="str">
        <f>IF(OR(J242&lt;D242,J242&gt;F242),"",
IFERROR(INDEX('3. Đơn xin nghỉ'!$K:$K,MATCH('4. Tổng hợp dữ liệu'!AJ242,'3. Đơn xin nghỉ'!$I:$I,0),1),
IF(AND(AU242="Không CC",I242&lt;&gt;1),"Ro:8","")))</f>
        <v/>
      </c>
      <c r="AL242" s="102" t="str">
        <f t="shared" si="313"/>
        <v>OFF</v>
      </c>
      <c r="AM242" s="102" t="str">
        <f t="shared" si="384"/>
        <v>OFF</v>
      </c>
      <c r="AN242" s="102" t="s">
        <v>93</v>
      </c>
      <c r="AO242" s="102"/>
      <c r="AP242" s="115">
        <f>IFERROR(VLOOKUP(AN242,'Quy đổi công'!A:D,3,0),0)</f>
        <v>0</v>
      </c>
      <c r="AQ242" s="115">
        <f>IFERROR(VLOOKUP(AN242,'Quy đổi công'!A:D,4,0),0)</f>
        <v>0</v>
      </c>
      <c r="AR242" s="115">
        <f t="shared" si="314"/>
        <v>0</v>
      </c>
      <c r="AS242" s="115">
        <f t="shared" si="385"/>
        <v>0</v>
      </c>
      <c r="AT242" s="115">
        <f t="shared" si="386"/>
        <v>0</v>
      </c>
      <c r="AU242" s="102" t="str">
        <f t="shared" si="315"/>
        <v>Không CC</v>
      </c>
      <c r="AV242" s="102" t="str">
        <f t="shared" si="316"/>
        <v/>
      </c>
      <c r="AW242" s="102" t="str">
        <f t="shared" si="317"/>
        <v/>
      </c>
      <c r="AX242" s="102" t="str">
        <f t="shared" si="318"/>
        <v/>
      </c>
      <c r="AY242" s="102" t="str">
        <f t="shared" si="319"/>
        <v/>
      </c>
      <c r="AZ242" s="102"/>
      <c r="BA242" s="102">
        <f>IF(AV242&lt;&gt;0,COUNTIFS($A$7:A242,A242,$AV$7:AV242,"Quên check in"))
+IF(AW242&lt;&gt;0,COUNTIFS($A$7:A242,A242,$AW$7:AW242,"Quên check in"))
+IF(AX242&lt;&gt;0,COUNTIFS($A$7:A242,A242,$AX$7:AX242,"Quên check out"))
+IF(AY242&lt;&gt;0,COUNTIFS($A$7:A242,A242,$AY$7:AY242,"Quên check out"))</f>
        <v>1</v>
      </c>
      <c r="BB242" s="143">
        <f t="shared" si="320"/>
        <v>0</v>
      </c>
    </row>
    <row r="243" spans="1:54" s="83" customFormat="1" ht="14.1" customHeight="1" x14ac:dyDescent="0.3">
      <c r="A243" s="103" t="s">
        <v>10</v>
      </c>
      <c r="B243" s="104" t="s">
        <v>19</v>
      </c>
      <c r="C243" s="105">
        <v>5000000</v>
      </c>
      <c r="D243" s="106">
        <v>43445</v>
      </c>
      <c r="E243" s="107">
        <v>43647</v>
      </c>
      <c r="F243" s="107">
        <v>73415</v>
      </c>
      <c r="G243" s="105">
        <v>26</v>
      </c>
      <c r="H243" s="105">
        <f t="shared" si="374"/>
        <v>1</v>
      </c>
      <c r="I243" s="105">
        <v>1</v>
      </c>
      <c r="J243" s="108">
        <v>43793</v>
      </c>
      <c r="K243" s="108" t="str">
        <f t="shared" si="375"/>
        <v>NV11843793VàoSáng</v>
      </c>
      <c r="L243" s="102">
        <f>IFERROR(VLOOKUP(K243,'1. Vân tay'!$F:$G,2,0),0)</f>
        <v>0</v>
      </c>
      <c r="M243" s="108" t="str">
        <f t="shared" si="376"/>
        <v>NV11843793RaSáng</v>
      </c>
      <c r="N243" s="102">
        <f>IFERROR(VLOOKUP(M243,'1. Vân tay'!$F:$G,2,0),0)</f>
        <v>0</v>
      </c>
      <c r="O243" s="108" t="str">
        <f t="shared" si="377"/>
        <v>NV11843793VàoChiều</v>
      </c>
      <c r="P243" s="102">
        <f>IFERROR(VLOOKUP(O243,'1. Vân tay'!$F:$G,2,0),0)</f>
        <v>0</v>
      </c>
      <c r="Q243" s="108" t="str">
        <f t="shared" si="378"/>
        <v>NV11843793RaChiều</v>
      </c>
      <c r="R243" s="102">
        <f>IFERROR(VLOOKUP(Q243,'1. Vân tay'!$F:$G,2,0),0)</f>
        <v>0</v>
      </c>
      <c r="S243" s="102">
        <f t="shared" si="379"/>
        <v>0</v>
      </c>
      <c r="T243" s="109">
        <v>0.33333333333333331</v>
      </c>
      <c r="U243" s="109">
        <v>0.5</v>
      </c>
      <c r="V243" s="109">
        <v>0.5625</v>
      </c>
      <c r="W243" s="109">
        <v>0.72916666666666663</v>
      </c>
      <c r="X243" s="102">
        <f>HDSD!$F$4</f>
        <v>5</v>
      </c>
      <c r="Y243" s="102">
        <f>SUMIFS('2. Đi muộn về sớm'!$K:$K,
'2. Đi muộn về sớm'!$B:$B,$A243,
'2. Đi muộn về sớm'!$D:$D,$J243)</f>
        <v>0</v>
      </c>
      <c r="Z243" s="110">
        <f t="shared" si="380"/>
        <v>0</v>
      </c>
      <c r="AA243" s="110">
        <f t="shared" si="381"/>
        <v>0</v>
      </c>
      <c r="AB243" s="111">
        <f t="shared" si="382"/>
        <v>0</v>
      </c>
      <c r="AC243" s="112">
        <f t="shared" si="307"/>
        <v>0</v>
      </c>
      <c r="AD243" s="113">
        <f t="shared" si="308"/>
        <v>0</v>
      </c>
      <c r="AE243" s="111">
        <f t="shared" si="383"/>
        <v>0</v>
      </c>
      <c r="AF243" s="113">
        <f t="shared" si="309"/>
        <v>0</v>
      </c>
      <c r="AG243" s="113">
        <f t="shared" si="310"/>
        <v>0</v>
      </c>
      <c r="AH243" s="114">
        <f t="shared" si="347"/>
        <v>0</v>
      </c>
      <c r="AI243" s="102" t="str">
        <f t="shared" si="311"/>
        <v/>
      </c>
      <c r="AJ243" s="102" t="str">
        <f t="shared" si="312"/>
        <v>NV11843793</v>
      </c>
      <c r="AK243" s="102" t="str">
        <f>IF(OR(J243&lt;D243,J243&gt;F243),"",
IFERROR(INDEX('3. Đơn xin nghỉ'!$K:$K,MATCH('4. Tổng hợp dữ liệu'!AJ243,'3. Đơn xin nghỉ'!$I:$I,0),1),
IF(AND(AU243="Không CC",I243&lt;&gt;1),"Ro:8","")))</f>
        <v/>
      </c>
      <c r="AL243" s="102" t="str">
        <f t="shared" si="313"/>
        <v>OFF</v>
      </c>
      <c r="AM243" s="102" t="str">
        <f t="shared" si="384"/>
        <v>OFF</v>
      </c>
      <c r="AN243" s="102" t="s">
        <v>93</v>
      </c>
      <c r="AO243" s="102"/>
      <c r="AP243" s="115">
        <f>IFERROR(VLOOKUP(AN243,'Quy đổi công'!A:D,3,0),0)</f>
        <v>0</v>
      </c>
      <c r="AQ243" s="115">
        <f>IFERROR(VLOOKUP(AN243,'Quy đổi công'!A:D,4,0),0)</f>
        <v>0</v>
      </c>
      <c r="AR243" s="115">
        <f t="shared" si="314"/>
        <v>0</v>
      </c>
      <c r="AS243" s="115">
        <f t="shared" si="385"/>
        <v>0</v>
      </c>
      <c r="AT243" s="115">
        <f t="shared" si="386"/>
        <v>0</v>
      </c>
      <c r="AU243" s="102" t="str">
        <f t="shared" si="315"/>
        <v>Không CC</v>
      </c>
      <c r="AV243" s="102" t="str">
        <f t="shared" si="316"/>
        <v/>
      </c>
      <c r="AW243" s="102" t="str">
        <f t="shared" si="317"/>
        <v/>
      </c>
      <c r="AX243" s="102" t="str">
        <f t="shared" si="318"/>
        <v/>
      </c>
      <c r="AY243" s="102" t="str">
        <f t="shared" si="319"/>
        <v/>
      </c>
      <c r="AZ243" s="102"/>
      <c r="BA243" s="102">
        <f>IF(AV243&lt;&gt;0,COUNTIFS($A$7:A243,A243,$AV$7:AV243,"Quên check in"))
+IF(AW243&lt;&gt;0,COUNTIFS($A$7:A243,A243,$AW$7:AW243,"Quên check in"))
+IF(AX243&lt;&gt;0,COUNTIFS($A$7:A243,A243,$AX$7:AX243,"Quên check out"))
+IF(AY243&lt;&gt;0,COUNTIFS($A$7:A243,A243,$AY$7:AY243,"Quên check out"))</f>
        <v>1</v>
      </c>
      <c r="BB243" s="143">
        <f t="shared" si="320"/>
        <v>0</v>
      </c>
    </row>
    <row r="244" spans="1:54" s="83" customFormat="1" ht="14.1" customHeight="1" x14ac:dyDescent="0.3">
      <c r="A244" s="103" t="s">
        <v>11</v>
      </c>
      <c r="B244" s="104" t="s">
        <v>20</v>
      </c>
      <c r="C244" s="105">
        <v>4700000</v>
      </c>
      <c r="D244" s="106">
        <v>43467</v>
      </c>
      <c r="E244" s="107">
        <v>43617</v>
      </c>
      <c r="F244" s="107">
        <v>73415</v>
      </c>
      <c r="G244" s="105">
        <v>26</v>
      </c>
      <c r="H244" s="105">
        <f t="shared" si="374"/>
        <v>1</v>
      </c>
      <c r="I244" s="105">
        <v>1</v>
      </c>
      <c r="J244" s="108">
        <v>43793</v>
      </c>
      <c r="K244" s="108" t="str">
        <f t="shared" si="375"/>
        <v>NV12243793VàoSáng</v>
      </c>
      <c r="L244" s="102">
        <f>IFERROR(VLOOKUP(K244,'1. Vân tay'!$F:$G,2,0),0)</f>
        <v>0</v>
      </c>
      <c r="M244" s="108" t="str">
        <f t="shared" si="376"/>
        <v>NV12243793RaSáng</v>
      </c>
      <c r="N244" s="102">
        <f>IFERROR(VLOOKUP(M244,'1. Vân tay'!$F:$G,2,0),0)</f>
        <v>0</v>
      </c>
      <c r="O244" s="108" t="str">
        <f t="shared" si="377"/>
        <v>NV12243793VàoChiều</v>
      </c>
      <c r="P244" s="102">
        <f>IFERROR(VLOOKUP(O244,'1. Vân tay'!$F:$G,2,0),0)</f>
        <v>0</v>
      </c>
      <c r="Q244" s="108" t="str">
        <f t="shared" si="378"/>
        <v>NV12243793RaChiều</v>
      </c>
      <c r="R244" s="102">
        <f>IFERROR(VLOOKUP(Q244,'1. Vân tay'!$F:$G,2,0),0)</f>
        <v>0</v>
      </c>
      <c r="S244" s="102">
        <f t="shared" si="379"/>
        <v>0</v>
      </c>
      <c r="T244" s="109">
        <v>0.33333333333333331</v>
      </c>
      <c r="U244" s="109">
        <v>0.5</v>
      </c>
      <c r="V244" s="109">
        <v>0.5625</v>
      </c>
      <c r="W244" s="109">
        <v>0.72916666666666663</v>
      </c>
      <c r="X244" s="102">
        <f>HDSD!$F$4</f>
        <v>5</v>
      </c>
      <c r="Y244" s="102">
        <f>SUMIFS('2. Đi muộn về sớm'!$K:$K,
'2. Đi muộn về sớm'!$B:$B,$A244,
'2. Đi muộn về sớm'!$D:$D,$J244)</f>
        <v>0</v>
      </c>
      <c r="Z244" s="110">
        <f t="shared" si="380"/>
        <v>0</v>
      </c>
      <c r="AA244" s="110">
        <f t="shared" si="381"/>
        <v>0</v>
      </c>
      <c r="AB244" s="111">
        <f t="shared" si="382"/>
        <v>0</v>
      </c>
      <c r="AC244" s="112">
        <f t="shared" si="307"/>
        <v>0</v>
      </c>
      <c r="AD244" s="113">
        <f t="shared" si="308"/>
        <v>0</v>
      </c>
      <c r="AE244" s="111">
        <f t="shared" si="383"/>
        <v>0</v>
      </c>
      <c r="AF244" s="113">
        <f t="shared" si="309"/>
        <v>0</v>
      </c>
      <c r="AG244" s="113">
        <f t="shared" si="310"/>
        <v>0</v>
      </c>
      <c r="AH244" s="114">
        <f t="shared" si="347"/>
        <v>0</v>
      </c>
      <c r="AI244" s="102" t="str">
        <f t="shared" si="311"/>
        <v/>
      </c>
      <c r="AJ244" s="102" t="str">
        <f t="shared" si="312"/>
        <v>NV12243793</v>
      </c>
      <c r="AK244" s="102" t="str">
        <f>IF(OR(J244&lt;D244,J244&gt;F244),"",
IFERROR(INDEX('3. Đơn xin nghỉ'!$K:$K,MATCH('4. Tổng hợp dữ liệu'!AJ244,'3. Đơn xin nghỉ'!$I:$I,0),1),
IF(AND(AU244="Không CC",I244&lt;&gt;1),"Ro:8","")))</f>
        <v/>
      </c>
      <c r="AL244" s="102" t="str">
        <f t="shared" si="313"/>
        <v>OFF</v>
      </c>
      <c r="AM244" s="102" t="str">
        <f t="shared" si="384"/>
        <v>OFF</v>
      </c>
      <c r="AN244" s="102" t="s">
        <v>93</v>
      </c>
      <c r="AO244" s="102"/>
      <c r="AP244" s="115">
        <f>IFERROR(VLOOKUP(AN244,'Quy đổi công'!A:D,3,0),0)</f>
        <v>0</v>
      </c>
      <c r="AQ244" s="115">
        <f>IFERROR(VLOOKUP(AN244,'Quy đổi công'!A:D,4,0),0)</f>
        <v>0</v>
      </c>
      <c r="AR244" s="115">
        <f t="shared" si="314"/>
        <v>0</v>
      </c>
      <c r="AS244" s="115">
        <f t="shared" si="385"/>
        <v>0</v>
      </c>
      <c r="AT244" s="115">
        <f t="shared" si="386"/>
        <v>0</v>
      </c>
      <c r="AU244" s="102" t="str">
        <f t="shared" si="315"/>
        <v>Không CC</v>
      </c>
      <c r="AV244" s="102" t="str">
        <f t="shared" si="316"/>
        <v/>
      </c>
      <c r="AW244" s="102" t="str">
        <f t="shared" si="317"/>
        <v/>
      </c>
      <c r="AX244" s="102" t="str">
        <f t="shared" si="318"/>
        <v/>
      </c>
      <c r="AY244" s="102" t="str">
        <f t="shared" si="319"/>
        <v/>
      </c>
      <c r="AZ244" s="102"/>
      <c r="BA244" s="102">
        <f>IF(AV244&lt;&gt;0,COUNTIFS($A$7:A244,A244,$AV$7:AV244,"Quên check in"))
+IF(AW244&lt;&gt;0,COUNTIFS($A$7:A244,A244,$AW$7:AW244,"Quên check in"))
+IF(AX244&lt;&gt;0,COUNTIFS($A$7:A244,A244,$AX$7:AX244,"Quên check out"))
+IF(AY244&lt;&gt;0,COUNTIFS($A$7:A244,A244,$AY$7:AY244,"Quên check out"))</f>
        <v>1</v>
      </c>
      <c r="BB244" s="143">
        <f t="shared" si="320"/>
        <v>0</v>
      </c>
    </row>
    <row r="245" spans="1:54" s="83" customFormat="1" ht="14.1" customHeight="1" x14ac:dyDescent="0.3">
      <c r="A245" s="103" t="s">
        <v>12</v>
      </c>
      <c r="B245" s="104" t="s">
        <v>21</v>
      </c>
      <c r="C245" s="105">
        <v>5000000</v>
      </c>
      <c r="D245" s="106">
        <v>43482</v>
      </c>
      <c r="E245" s="107">
        <v>43647</v>
      </c>
      <c r="F245" s="107">
        <v>73415</v>
      </c>
      <c r="G245" s="105">
        <v>26</v>
      </c>
      <c r="H245" s="105">
        <f t="shared" si="374"/>
        <v>1</v>
      </c>
      <c r="I245" s="105">
        <v>1</v>
      </c>
      <c r="J245" s="108">
        <v>43793</v>
      </c>
      <c r="K245" s="108" t="str">
        <f t="shared" si="375"/>
        <v>NV12343793VàoSáng</v>
      </c>
      <c r="L245" s="102">
        <f>IFERROR(VLOOKUP(K245,'1. Vân tay'!$F:$G,2,0),0)</f>
        <v>0</v>
      </c>
      <c r="M245" s="108" t="str">
        <f t="shared" si="376"/>
        <v>NV12343793RaSáng</v>
      </c>
      <c r="N245" s="102">
        <f>IFERROR(VLOOKUP(M245,'1. Vân tay'!$F:$G,2,0),0)</f>
        <v>0</v>
      </c>
      <c r="O245" s="108" t="str">
        <f t="shared" si="377"/>
        <v>NV12343793VàoChiều</v>
      </c>
      <c r="P245" s="102">
        <f>IFERROR(VLOOKUP(O245,'1. Vân tay'!$F:$G,2,0),0)</f>
        <v>0</v>
      </c>
      <c r="Q245" s="108" t="str">
        <f t="shared" si="378"/>
        <v>NV12343793RaChiều</v>
      </c>
      <c r="R245" s="102">
        <f>IFERROR(VLOOKUP(Q245,'1. Vân tay'!$F:$G,2,0),0)</f>
        <v>0</v>
      </c>
      <c r="S245" s="102">
        <f t="shared" si="379"/>
        <v>0</v>
      </c>
      <c r="T245" s="109">
        <v>0.33333333333333331</v>
      </c>
      <c r="U245" s="109">
        <v>0.5</v>
      </c>
      <c r="V245" s="109">
        <v>0.5625</v>
      </c>
      <c r="W245" s="109">
        <v>0.72916666666666663</v>
      </c>
      <c r="X245" s="102">
        <f>HDSD!$F$4</f>
        <v>5</v>
      </c>
      <c r="Y245" s="102">
        <f>SUMIFS('2. Đi muộn về sớm'!$K:$K,
'2. Đi muộn về sớm'!$B:$B,$A245,
'2. Đi muộn về sớm'!$D:$D,$J245)</f>
        <v>0</v>
      </c>
      <c r="Z245" s="110">
        <f t="shared" si="380"/>
        <v>0</v>
      </c>
      <c r="AA245" s="110">
        <f t="shared" si="381"/>
        <v>0</v>
      </c>
      <c r="AB245" s="111">
        <f t="shared" si="382"/>
        <v>0</v>
      </c>
      <c r="AC245" s="112">
        <f t="shared" si="307"/>
        <v>0</v>
      </c>
      <c r="AD245" s="113">
        <f t="shared" si="308"/>
        <v>0</v>
      </c>
      <c r="AE245" s="111">
        <f t="shared" si="383"/>
        <v>0</v>
      </c>
      <c r="AF245" s="113">
        <f t="shared" si="309"/>
        <v>0</v>
      </c>
      <c r="AG245" s="113">
        <f t="shared" si="310"/>
        <v>0</v>
      </c>
      <c r="AH245" s="114">
        <f t="shared" si="347"/>
        <v>0</v>
      </c>
      <c r="AI245" s="102" t="str">
        <f t="shared" si="311"/>
        <v/>
      </c>
      <c r="AJ245" s="102" t="str">
        <f t="shared" si="312"/>
        <v>NV12343793</v>
      </c>
      <c r="AK245" s="102" t="str">
        <f>IF(OR(J245&lt;D245,J245&gt;F245),"",
IFERROR(INDEX('3. Đơn xin nghỉ'!$K:$K,MATCH('4. Tổng hợp dữ liệu'!AJ245,'3. Đơn xin nghỉ'!$I:$I,0),1),
IF(AND(AU245="Không CC",I245&lt;&gt;1),"Ro:8","")))</f>
        <v/>
      </c>
      <c r="AL245" s="102" t="str">
        <f t="shared" si="313"/>
        <v>OFF</v>
      </c>
      <c r="AM245" s="102" t="str">
        <f t="shared" si="384"/>
        <v>OFF</v>
      </c>
      <c r="AN245" s="102" t="s">
        <v>93</v>
      </c>
      <c r="AO245" s="102"/>
      <c r="AP245" s="115">
        <f>IFERROR(VLOOKUP(AN245,'Quy đổi công'!A:D,3,0),0)</f>
        <v>0</v>
      </c>
      <c r="AQ245" s="115">
        <f>IFERROR(VLOOKUP(AN245,'Quy đổi công'!A:D,4,0),0)</f>
        <v>0</v>
      </c>
      <c r="AR245" s="115">
        <f t="shared" si="314"/>
        <v>0</v>
      </c>
      <c r="AS245" s="115">
        <f t="shared" si="385"/>
        <v>0</v>
      </c>
      <c r="AT245" s="115">
        <f t="shared" si="386"/>
        <v>0</v>
      </c>
      <c r="AU245" s="102" t="str">
        <f t="shared" si="315"/>
        <v>Không CC</v>
      </c>
      <c r="AV245" s="102" t="str">
        <f t="shared" si="316"/>
        <v/>
      </c>
      <c r="AW245" s="102" t="str">
        <f t="shared" si="317"/>
        <v/>
      </c>
      <c r="AX245" s="102" t="str">
        <f t="shared" si="318"/>
        <v/>
      </c>
      <c r="AY245" s="102" t="str">
        <f t="shared" si="319"/>
        <v/>
      </c>
      <c r="AZ245" s="102"/>
      <c r="BA245" s="102">
        <f>IF(AV245&lt;&gt;0,COUNTIFS($A$7:A245,A245,$AV$7:AV245,"Quên check in"))
+IF(AW245&lt;&gt;0,COUNTIFS($A$7:A245,A245,$AW$7:AW245,"Quên check in"))
+IF(AX245&lt;&gt;0,COUNTIFS($A$7:A245,A245,$AX$7:AX245,"Quên check out"))
+IF(AY245&lt;&gt;0,COUNTIFS($A$7:A245,A245,$AY$7:AY245,"Quên check out"))</f>
        <v>1</v>
      </c>
      <c r="BB245" s="143">
        <f t="shared" si="320"/>
        <v>0</v>
      </c>
    </row>
    <row r="246" spans="1:54" s="83" customFormat="1" ht="14.1" customHeight="1" x14ac:dyDescent="0.3">
      <c r="A246" s="103" t="s">
        <v>13</v>
      </c>
      <c r="B246" s="104" t="s">
        <v>22</v>
      </c>
      <c r="C246" s="105">
        <v>4700000</v>
      </c>
      <c r="D246" s="106">
        <v>43531</v>
      </c>
      <c r="E246" s="107">
        <v>43647</v>
      </c>
      <c r="F246" s="107">
        <v>73415</v>
      </c>
      <c r="G246" s="105">
        <v>26</v>
      </c>
      <c r="H246" s="105">
        <f t="shared" si="374"/>
        <v>1</v>
      </c>
      <c r="I246" s="105">
        <v>1</v>
      </c>
      <c r="J246" s="108">
        <v>43793</v>
      </c>
      <c r="K246" s="108" t="str">
        <f t="shared" si="375"/>
        <v>NV12643793VàoSáng</v>
      </c>
      <c r="L246" s="102">
        <f>IFERROR(VLOOKUP(K246,'1. Vân tay'!$F:$G,2,0),0)</f>
        <v>0</v>
      </c>
      <c r="M246" s="108" t="str">
        <f t="shared" si="376"/>
        <v>NV12643793RaSáng</v>
      </c>
      <c r="N246" s="102">
        <f>IFERROR(VLOOKUP(M246,'1. Vân tay'!$F:$G,2,0),0)</f>
        <v>0</v>
      </c>
      <c r="O246" s="108" t="str">
        <f t="shared" si="377"/>
        <v>NV12643793VàoChiều</v>
      </c>
      <c r="P246" s="102">
        <f>IFERROR(VLOOKUP(O246,'1. Vân tay'!$F:$G,2,0),0)</f>
        <v>0</v>
      </c>
      <c r="Q246" s="108" t="str">
        <f t="shared" si="378"/>
        <v>NV12643793RaChiều</v>
      </c>
      <c r="R246" s="102">
        <f>IFERROR(VLOOKUP(Q246,'1. Vân tay'!$F:$G,2,0),0)</f>
        <v>0</v>
      </c>
      <c r="S246" s="102">
        <f t="shared" si="379"/>
        <v>0</v>
      </c>
      <c r="T246" s="109">
        <v>0.33333333333333331</v>
      </c>
      <c r="U246" s="109">
        <v>0.5</v>
      </c>
      <c r="V246" s="109">
        <v>0.5625</v>
      </c>
      <c r="W246" s="109">
        <v>0.72916666666666663</v>
      </c>
      <c r="X246" s="102">
        <f>HDSD!$F$4</f>
        <v>5</v>
      </c>
      <c r="Y246" s="102">
        <f>SUMIFS('2. Đi muộn về sớm'!$K:$K,
'2. Đi muộn về sớm'!$B:$B,$A246,
'2. Đi muộn về sớm'!$D:$D,$J246)</f>
        <v>0</v>
      </c>
      <c r="Z246" s="110">
        <f t="shared" si="380"/>
        <v>0</v>
      </c>
      <c r="AA246" s="110">
        <f t="shared" si="381"/>
        <v>0</v>
      </c>
      <c r="AB246" s="111">
        <f t="shared" si="382"/>
        <v>0</v>
      </c>
      <c r="AC246" s="112">
        <f t="shared" si="307"/>
        <v>0</v>
      </c>
      <c r="AD246" s="113">
        <f t="shared" si="308"/>
        <v>0</v>
      </c>
      <c r="AE246" s="111">
        <f t="shared" si="383"/>
        <v>0</v>
      </c>
      <c r="AF246" s="113">
        <f t="shared" si="309"/>
        <v>0</v>
      </c>
      <c r="AG246" s="113">
        <f t="shared" si="310"/>
        <v>0</v>
      </c>
      <c r="AH246" s="114">
        <f t="shared" si="347"/>
        <v>0</v>
      </c>
      <c r="AI246" s="102" t="str">
        <f t="shared" si="311"/>
        <v/>
      </c>
      <c r="AJ246" s="102" t="str">
        <f t="shared" si="312"/>
        <v>NV12643793</v>
      </c>
      <c r="AK246" s="102" t="str">
        <f>IF(OR(J246&lt;D246,J246&gt;F246),"",
IFERROR(INDEX('3. Đơn xin nghỉ'!$K:$K,MATCH('4. Tổng hợp dữ liệu'!AJ246,'3. Đơn xin nghỉ'!$I:$I,0),1),
IF(AND(AU246="Không CC",I246&lt;&gt;1),"Ro:8","")))</f>
        <v/>
      </c>
      <c r="AL246" s="102" t="str">
        <f t="shared" si="313"/>
        <v>OFF</v>
      </c>
      <c r="AM246" s="102" t="str">
        <f t="shared" si="384"/>
        <v>OFF</v>
      </c>
      <c r="AN246" s="102" t="s">
        <v>93</v>
      </c>
      <c r="AO246" s="102"/>
      <c r="AP246" s="115">
        <f>IFERROR(VLOOKUP(AN246,'Quy đổi công'!A:D,3,0),0)</f>
        <v>0</v>
      </c>
      <c r="AQ246" s="115">
        <f>IFERROR(VLOOKUP(AN246,'Quy đổi công'!A:D,4,0),0)</f>
        <v>0</v>
      </c>
      <c r="AR246" s="115">
        <f t="shared" si="314"/>
        <v>0</v>
      </c>
      <c r="AS246" s="115">
        <f t="shared" si="385"/>
        <v>0</v>
      </c>
      <c r="AT246" s="115">
        <f t="shared" si="386"/>
        <v>0</v>
      </c>
      <c r="AU246" s="102" t="str">
        <f t="shared" si="315"/>
        <v>Không CC</v>
      </c>
      <c r="AV246" s="102" t="str">
        <f t="shared" si="316"/>
        <v/>
      </c>
      <c r="AW246" s="102" t="str">
        <f t="shared" si="317"/>
        <v/>
      </c>
      <c r="AX246" s="102" t="str">
        <f t="shared" si="318"/>
        <v/>
      </c>
      <c r="AY246" s="102" t="str">
        <f t="shared" si="319"/>
        <v/>
      </c>
      <c r="AZ246" s="102"/>
      <c r="BA246" s="102">
        <f>IF(AV246&lt;&gt;0,COUNTIFS($A$7:A246,A246,$AV$7:AV246,"Quên check in"))
+IF(AW246&lt;&gt;0,COUNTIFS($A$7:A246,A246,$AW$7:AW246,"Quên check in"))
+IF(AX246&lt;&gt;0,COUNTIFS($A$7:A246,A246,$AX$7:AX246,"Quên check out"))
+IF(AY246&lt;&gt;0,COUNTIFS($A$7:A246,A246,$AY$7:AY246,"Quên check out"))</f>
        <v>0</v>
      </c>
      <c r="BB246" s="143">
        <f t="shared" si="320"/>
        <v>0</v>
      </c>
    </row>
    <row r="247" spans="1:54" s="83" customFormat="1" ht="14.1" customHeight="1" x14ac:dyDescent="0.3">
      <c r="A247" s="103" t="s">
        <v>4</v>
      </c>
      <c r="B247" s="104" t="s">
        <v>14</v>
      </c>
      <c r="C247" s="105">
        <v>4700000</v>
      </c>
      <c r="D247" s="106">
        <v>43388</v>
      </c>
      <c r="E247" s="107">
        <v>43525</v>
      </c>
      <c r="F247" s="107">
        <v>73415</v>
      </c>
      <c r="G247" s="105">
        <v>26</v>
      </c>
      <c r="H247" s="105">
        <f t="shared" ref="H247:H256" si="387">WEEKDAY(J247,1)</f>
        <v>2</v>
      </c>
      <c r="I247" s="105"/>
      <c r="J247" s="108">
        <v>43794</v>
      </c>
      <c r="K247" s="108" t="str">
        <f t="shared" ref="K247:K256" si="388">$A247&amp;$J247&amp;"Vào"&amp;"Sáng"</f>
        <v>NV10143794VàoSáng</v>
      </c>
      <c r="L247" s="102" t="str">
        <f>IFERROR(VLOOKUP(K247,'1. Vân tay'!$F:$G,2,0),0)</f>
        <v>08:02:36</v>
      </c>
      <c r="M247" s="108" t="str">
        <f t="shared" ref="M247:M256" si="389">$A247&amp;$J247&amp;"Ra"&amp;"Sáng"</f>
        <v>NV10143794RaSáng</v>
      </c>
      <c r="N247" s="102">
        <f>IFERROR(VLOOKUP(M247,'1. Vân tay'!$F:$G,2,0),0)</f>
        <v>0</v>
      </c>
      <c r="O247" s="108" t="str">
        <f t="shared" ref="O247:O256" si="390">$A247&amp;$J247&amp;"Vào"&amp;"Chiều"</f>
        <v>NV10143794VàoChiều</v>
      </c>
      <c r="P247" s="102">
        <f>IFERROR(VLOOKUP(O247,'1. Vân tay'!$F:$G,2,0),0)</f>
        <v>0</v>
      </c>
      <c r="Q247" s="108" t="str">
        <f t="shared" ref="Q247:Q256" si="391">$A247&amp;$J247&amp;"Ra"&amp;"Chiều"</f>
        <v>NV10143794RaChiều</v>
      </c>
      <c r="R247" s="102" t="str">
        <f>IFERROR(VLOOKUP(Q247,'1. Vân tay'!$F:$G,2,0),0)</f>
        <v>17:32:31</v>
      </c>
      <c r="S247" s="102">
        <f t="shared" ref="S247:S256" si="392">IF(OR(
(AND(L247&lt;&gt;0,P247&lt;&gt;0)),
(AND(N247&lt;&gt;0,R247&lt;&gt;0))),"Kiểm tra",0)</f>
        <v>0</v>
      </c>
      <c r="T247" s="109">
        <v>0.33333333333333331</v>
      </c>
      <c r="U247" s="109">
        <v>0.5</v>
      </c>
      <c r="V247" s="109">
        <v>0.5625</v>
      </c>
      <c r="W247" s="109">
        <v>0.72916666666666663</v>
      </c>
      <c r="X247" s="102">
        <f>HDSD!$F$4</f>
        <v>5</v>
      </c>
      <c r="Y247" s="102">
        <f>SUMIFS('2. Đi muộn về sớm'!$K:$K,
'2. Đi muộn về sớm'!$B:$B,$A247,
'2. Đi muộn về sớm'!$D:$D,$J247)</f>
        <v>0</v>
      </c>
      <c r="Z247" s="110">
        <f t="shared" ref="Z247:Z256" si="393">IF(L247=0,0,IFERROR((HOUR(L247-T247)*60+MINUTE(L247-T247)+SECOND(L247-T247)/60),0))
+IF(N247=0,0, IFERROR((HOUR(U247-N247)*60+MINUTE(U247-N247)+SECOND(U247-N247)/60),0))
+IF(P247=0,0, IFERROR((HOUR(P247-V247)*60+MINUTE(P247-V247)+SECOND(P247-V247)/60),0))
+IF(R247=0,0, IFERROR((HOUR(W247-R247)*60+MINUTE(W247-R247)+SECOND(W247-R247)/60),0))</f>
        <v>2.6</v>
      </c>
      <c r="AA247" s="110">
        <f t="shared" ref="AA247:AA256" si="394">IF(L247=0,0,IFERROR((HOUR(L247-"09:00:00")*60+MINUTE(L247-"09:00:00")+SECOND(L247-"09:00:00")/60),0))
+IF(N247=0,0, IFERROR((HOUR(U247-N247)*60+MINUTE(U247-N247)+SECOND(U247-N247)/60),0))
+IF(P247=0,0, IFERROR((HOUR(P247-V247)*60+MINUTE(P247-V247)+SECOND(P247-V247)/60),0))
+IF(R247=0,0, IFERROR((HOUR("16:30:00"-R247)*60+MINUTE("16:30:00"-R247)+SECOND("16:30:00"-R247)/60),0))</f>
        <v>0</v>
      </c>
      <c r="AB247" s="111">
        <f t="shared" ref="AB247:AB256" si="395">Z247-AA247</f>
        <v>2.6</v>
      </c>
      <c r="AC247" s="112">
        <f t="shared" si="307"/>
        <v>0</v>
      </c>
      <c r="AD247" s="113">
        <f t="shared" si="308"/>
        <v>0</v>
      </c>
      <c r="AE247" s="111">
        <f t="shared" ref="AE247:AE256" si="396">AA247/60/8</f>
        <v>0</v>
      </c>
      <c r="AF247" s="113">
        <f t="shared" si="309"/>
        <v>0</v>
      </c>
      <c r="AG247" s="113">
        <f t="shared" si="310"/>
        <v>0</v>
      </c>
      <c r="AH247" s="114">
        <f t="shared" si="347"/>
        <v>9.49861111111111</v>
      </c>
      <c r="AI247" s="102" t="str">
        <f t="shared" si="311"/>
        <v>X:8</v>
      </c>
      <c r="AJ247" s="102" t="str">
        <f t="shared" si="312"/>
        <v>NV10143794</v>
      </c>
      <c r="AK247" s="102" t="str">
        <f>IF(OR(J247&lt;D247,J247&gt;F247),"",
IFERROR(INDEX('3. Đơn xin nghỉ'!$K:$K,MATCH('4. Tổng hợp dữ liệu'!AJ247,'3. Đơn xin nghỉ'!$I:$I,0),1),
IF(AND(AU247="Không CC",I247&lt;&gt;1),"Ro:8","")))</f>
        <v/>
      </c>
      <c r="AL247" s="102" t="str">
        <f t="shared" si="313"/>
        <v/>
      </c>
      <c r="AM247" s="102" t="str">
        <f t="shared" ref="AM247:AM256" si="397">IF(OR(AI247="",AK247=""),AI247&amp;AK247,AI247&amp;","&amp;AK247)&amp;AL247</f>
        <v>X:8</v>
      </c>
      <c r="AN247" s="102" t="s">
        <v>92</v>
      </c>
      <c r="AO247" s="102"/>
      <c r="AP247" s="115">
        <f>IFERROR(VLOOKUP(AN247,'Quy đổi công'!A:D,3,0),0)</f>
        <v>1</v>
      </c>
      <c r="AQ247" s="115">
        <f>IFERROR(VLOOKUP(AN247,'Quy đổi công'!A:D,4,0),0)</f>
        <v>0</v>
      </c>
      <c r="AR247" s="115">
        <f t="shared" si="314"/>
        <v>0</v>
      </c>
      <c r="AS247" s="115">
        <f t="shared" ref="AS247:AS256" si="398">AP247-AR247</f>
        <v>1</v>
      </c>
      <c r="AT247" s="115">
        <f t="shared" ref="AT247:AT256" si="399">IF(AN247="P8",1)
+IF(OR(AN247="X:4,P:4",AN247="P:4,Rv:4",AN247="P:4,Ro:4"),1/2)</f>
        <v>0</v>
      </c>
      <c r="AU247" s="102" t="str">
        <f t="shared" si="315"/>
        <v/>
      </c>
      <c r="AV247" s="102" t="str">
        <f t="shared" si="316"/>
        <v/>
      </c>
      <c r="AW247" s="102" t="str">
        <f t="shared" si="317"/>
        <v/>
      </c>
      <c r="AX247" s="102" t="str">
        <f t="shared" si="318"/>
        <v/>
      </c>
      <c r="AY247" s="102" t="str">
        <f t="shared" si="319"/>
        <v/>
      </c>
      <c r="AZ247" s="102"/>
      <c r="BA247" s="102">
        <f>IF(AV247&lt;&gt;0,COUNTIFS($A$7:A247,A247,$AV$7:AV247,"Quên check in"))
+IF(AW247&lt;&gt;0,COUNTIFS($A$7:A247,A247,$AW$7:AW247,"Quên check in"))
+IF(AX247&lt;&gt;0,COUNTIFS($A$7:A247,A247,$AX$7:AX247,"Quên check out"))
+IF(AY247&lt;&gt;0,COUNTIFS($A$7:A247,A247,$AY$7:AY247,"Quên check out"))</f>
        <v>0</v>
      </c>
      <c r="BB247" s="143">
        <f t="shared" si="320"/>
        <v>0</v>
      </c>
    </row>
    <row r="248" spans="1:54" s="83" customFormat="1" ht="14.1" customHeight="1" x14ac:dyDescent="0.3">
      <c r="A248" s="103" t="s">
        <v>5</v>
      </c>
      <c r="B248" s="104" t="s">
        <v>28</v>
      </c>
      <c r="C248" s="105">
        <v>10000000</v>
      </c>
      <c r="D248" s="106">
        <v>43409</v>
      </c>
      <c r="E248" s="107">
        <v>43678</v>
      </c>
      <c r="F248" s="107">
        <v>73415</v>
      </c>
      <c r="G248" s="105">
        <v>26</v>
      </c>
      <c r="H248" s="105">
        <f t="shared" si="387"/>
        <v>2</v>
      </c>
      <c r="I248" s="105"/>
      <c r="J248" s="108">
        <v>43794</v>
      </c>
      <c r="K248" s="108" t="str">
        <f t="shared" si="388"/>
        <v>NV10743794VàoSáng</v>
      </c>
      <c r="L248" s="102" t="str">
        <f>IFERROR(VLOOKUP(K248,'1. Vân tay'!$F:$G,2,0),0)</f>
        <v>07:59:00</v>
      </c>
      <c r="M248" s="108" t="str">
        <f t="shared" si="389"/>
        <v>NV10743794RaSáng</v>
      </c>
      <c r="N248" s="102">
        <f>IFERROR(VLOOKUP(M248,'1. Vân tay'!$F:$G,2,0),0)</f>
        <v>0</v>
      </c>
      <c r="O248" s="108" t="str">
        <f t="shared" si="390"/>
        <v>NV10743794VàoChiều</v>
      </c>
      <c r="P248" s="102">
        <f>IFERROR(VLOOKUP(O248,'1. Vân tay'!$F:$G,2,0),0)</f>
        <v>0</v>
      </c>
      <c r="Q248" s="108" t="str">
        <f t="shared" si="391"/>
        <v>NV10743794RaChiều</v>
      </c>
      <c r="R248" s="102" t="str">
        <f>IFERROR(VLOOKUP(Q248,'1. Vân tay'!$F:$G,2,0),0)</f>
        <v>16:32:10</v>
      </c>
      <c r="S248" s="102">
        <f t="shared" si="392"/>
        <v>0</v>
      </c>
      <c r="T248" s="109">
        <v>0.33333333333333331</v>
      </c>
      <c r="U248" s="109">
        <v>0.5</v>
      </c>
      <c r="V248" s="109">
        <v>0.5625</v>
      </c>
      <c r="W248" s="109">
        <v>0.72916666666666663</v>
      </c>
      <c r="X248" s="102">
        <f>HDSD!$F$4</f>
        <v>5</v>
      </c>
      <c r="Y248" s="102">
        <f>SUMIFS('2. Đi muộn về sớm'!$K:$K,
'2. Đi muộn về sớm'!$B:$B,$A248,
'2. Đi muộn về sớm'!$D:$D,$J248)</f>
        <v>60</v>
      </c>
      <c r="Z248" s="110">
        <f t="shared" si="393"/>
        <v>57.833333333333336</v>
      </c>
      <c r="AA248" s="110">
        <f t="shared" si="394"/>
        <v>0</v>
      </c>
      <c r="AB248" s="111">
        <f t="shared" si="395"/>
        <v>57.833333333333336</v>
      </c>
      <c r="AC248" s="112">
        <f t="shared" si="307"/>
        <v>0</v>
      </c>
      <c r="AD248" s="113">
        <f t="shared" si="308"/>
        <v>0</v>
      </c>
      <c r="AE248" s="111">
        <f t="shared" si="396"/>
        <v>0</v>
      </c>
      <c r="AF248" s="113">
        <f t="shared" si="309"/>
        <v>0</v>
      </c>
      <c r="AG248" s="113">
        <f t="shared" si="310"/>
        <v>0</v>
      </c>
      <c r="AH248" s="114">
        <f t="shared" si="347"/>
        <v>8.5527777777777789</v>
      </c>
      <c r="AI248" s="102" t="str">
        <f t="shared" si="311"/>
        <v>X:8</v>
      </c>
      <c r="AJ248" s="102" t="str">
        <f t="shared" si="312"/>
        <v>NV10743794</v>
      </c>
      <c r="AK248" s="102" t="str">
        <f>IF(OR(J248&lt;D248,J248&gt;F248),"",
IFERROR(INDEX('3. Đơn xin nghỉ'!$K:$K,MATCH('4. Tổng hợp dữ liệu'!AJ248,'3. Đơn xin nghỉ'!$I:$I,0),1),
IF(AND(AU248="Không CC",I248&lt;&gt;1),"Ro:8","")))</f>
        <v/>
      </c>
      <c r="AL248" s="102" t="str">
        <f t="shared" si="313"/>
        <v/>
      </c>
      <c r="AM248" s="102" t="str">
        <f t="shared" si="397"/>
        <v>X:8</v>
      </c>
      <c r="AN248" s="102" t="s">
        <v>92</v>
      </c>
      <c r="AO248" s="102"/>
      <c r="AP248" s="115">
        <f>IFERROR(VLOOKUP(AN248,'Quy đổi công'!A:D,3,0),0)</f>
        <v>1</v>
      </c>
      <c r="AQ248" s="115">
        <f>IFERROR(VLOOKUP(AN248,'Quy đổi công'!A:D,4,0),0)</f>
        <v>0</v>
      </c>
      <c r="AR248" s="115">
        <f t="shared" si="314"/>
        <v>0</v>
      </c>
      <c r="AS248" s="115">
        <f t="shared" si="398"/>
        <v>1</v>
      </c>
      <c r="AT248" s="115">
        <f t="shared" si="399"/>
        <v>0</v>
      </c>
      <c r="AU248" s="102" t="str">
        <f t="shared" si="315"/>
        <v/>
      </c>
      <c r="AV248" s="102" t="str">
        <f t="shared" si="316"/>
        <v/>
      </c>
      <c r="AW248" s="102" t="str">
        <f t="shared" si="317"/>
        <v/>
      </c>
      <c r="AX248" s="102" t="str">
        <f t="shared" si="318"/>
        <v/>
      </c>
      <c r="AY248" s="102" t="str">
        <f t="shared" si="319"/>
        <v/>
      </c>
      <c r="AZ248" s="102"/>
      <c r="BA248" s="102">
        <f>IF(AV248&lt;&gt;0,COUNTIFS($A$7:A248,A248,$AV$7:AV248,"Quên check in"))
+IF(AW248&lt;&gt;0,COUNTIFS($A$7:A248,A248,$AW$7:AW248,"Quên check in"))
+IF(AX248&lt;&gt;0,COUNTIFS($A$7:A248,A248,$AX$7:AX248,"Quên check out"))
+IF(AY248&lt;&gt;0,COUNTIFS($A$7:A248,A248,$AY$7:AY248,"Quên check out"))</f>
        <v>4</v>
      </c>
      <c r="BB248" s="143">
        <f t="shared" si="320"/>
        <v>50000</v>
      </c>
    </row>
    <row r="249" spans="1:54" s="83" customFormat="1" ht="14.1" customHeight="1" x14ac:dyDescent="0.3">
      <c r="A249" s="103" t="s">
        <v>6</v>
      </c>
      <c r="B249" s="104" t="s">
        <v>15</v>
      </c>
      <c r="C249" s="105">
        <v>4700000</v>
      </c>
      <c r="D249" s="106">
        <v>43409</v>
      </c>
      <c r="E249" s="107">
        <v>43617</v>
      </c>
      <c r="F249" s="107">
        <v>73415</v>
      </c>
      <c r="G249" s="105">
        <v>26</v>
      </c>
      <c r="H249" s="105">
        <f t="shared" si="387"/>
        <v>2</v>
      </c>
      <c r="I249" s="105"/>
      <c r="J249" s="108">
        <v>43794</v>
      </c>
      <c r="K249" s="108" t="str">
        <f t="shared" si="388"/>
        <v>NV10843794VàoSáng</v>
      </c>
      <c r="L249" s="102" t="str">
        <f>IFERROR(VLOOKUP(K249,'1. Vân tay'!$F:$G,2,0),0)</f>
        <v>07:55:27</v>
      </c>
      <c r="M249" s="108" t="str">
        <f t="shared" si="389"/>
        <v>NV10843794RaSáng</v>
      </c>
      <c r="N249" s="102">
        <f>IFERROR(VLOOKUP(M249,'1. Vân tay'!$F:$G,2,0),0)</f>
        <v>0</v>
      </c>
      <c r="O249" s="108" t="str">
        <f t="shared" si="390"/>
        <v>NV10843794VàoChiều</v>
      </c>
      <c r="P249" s="102">
        <f>IFERROR(VLOOKUP(O249,'1. Vân tay'!$F:$G,2,0),0)</f>
        <v>0</v>
      </c>
      <c r="Q249" s="108" t="str">
        <f t="shared" si="391"/>
        <v>NV10843794RaChiều</v>
      </c>
      <c r="R249" s="102" t="str">
        <f>IFERROR(VLOOKUP(Q249,'1. Vân tay'!$F:$G,2,0),0)</f>
        <v>17:41:45</v>
      </c>
      <c r="S249" s="102">
        <f t="shared" si="392"/>
        <v>0</v>
      </c>
      <c r="T249" s="109">
        <v>0.33333333333333331</v>
      </c>
      <c r="U249" s="109">
        <v>0.5</v>
      </c>
      <c r="V249" s="109">
        <v>0.5625</v>
      </c>
      <c r="W249" s="109">
        <v>0.72916666666666663</v>
      </c>
      <c r="X249" s="102">
        <f>HDSD!$F$4</f>
        <v>5</v>
      </c>
      <c r="Y249" s="102">
        <f>SUMIFS('2. Đi muộn về sớm'!$K:$K,
'2. Đi muộn về sớm'!$B:$B,$A249,
'2. Đi muộn về sớm'!$D:$D,$J249)</f>
        <v>0</v>
      </c>
      <c r="Z249" s="110">
        <f t="shared" si="393"/>
        <v>0</v>
      </c>
      <c r="AA249" s="110">
        <f t="shared" si="394"/>
        <v>0</v>
      </c>
      <c r="AB249" s="111">
        <f t="shared" si="395"/>
        <v>0</v>
      </c>
      <c r="AC249" s="112">
        <f t="shared" si="307"/>
        <v>0</v>
      </c>
      <c r="AD249" s="113">
        <f t="shared" si="308"/>
        <v>0</v>
      </c>
      <c r="AE249" s="111">
        <f t="shared" si="396"/>
        <v>0</v>
      </c>
      <c r="AF249" s="113">
        <f t="shared" si="309"/>
        <v>0</v>
      </c>
      <c r="AG249" s="113">
        <f t="shared" si="310"/>
        <v>0</v>
      </c>
      <c r="AH249" s="114">
        <f t="shared" si="347"/>
        <v>9.7716666666666683</v>
      </c>
      <c r="AI249" s="102" t="str">
        <f t="shared" si="311"/>
        <v>X:8</v>
      </c>
      <c r="AJ249" s="102" t="str">
        <f t="shared" si="312"/>
        <v>NV10843794</v>
      </c>
      <c r="AK249" s="102" t="str">
        <f>IF(OR(J249&lt;D249,J249&gt;F249),"",
IFERROR(INDEX('3. Đơn xin nghỉ'!$K:$K,MATCH('4. Tổng hợp dữ liệu'!AJ249,'3. Đơn xin nghỉ'!$I:$I,0),1),
IF(AND(AU249="Không CC",I249&lt;&gt;1),"Ro:8","")))</f>
        <v/>
      </c>
      <c r="AL249" s="102" t="str">
        <f t="shared" si="313"/>
        <v/>
      </c>
      <c r="AM249" s="102" t="str">
        <f t="shared" si="397"/>
        <v>X:8</v>
      </c>
      <c r="AN249" s="102" t="s">
        <v>92</v>
      </c>
      <c r="AO249" s="102"/>
      <c r="AP249" s="115">
        <f>IFERROR(VLOOKUP(AN249,'Quy đổi công'!A:D,3,0),0)</f>
        <v>1</v>
      </c>
      <c r="AQ249" s="115">
        <f>IFERROR(VLOOKUP(AN249,'Quy đổi công'!A:D,4,0),0)</f>
        <v>0</v>
      </c>
      <c r="AR249" s="115">
        <f t="shared" si="314"/>
        <v>0</v>
      </c>
      <c r="AS249" s="115">
        <f t="shared" si="398"/>
        <v>1</v>
      </c>
      <c r="AT249" s="115">
        <f t="shared" si="399"/>
        <v>0</v>
      </c>
      <c r="AU249" s="102" t="str">
        <f t="shared" si="315"/>
        <v/>
      </c>
      <c r="AV249" s="102" t="str">
        <f t="shared" si="316"/>
        <v/>
      </c>
      <c r="AW249" s="102" t="str">
        <f t="shared" si="317"/>
        <v/>
      </c>
      <c r="AX249" s="102" t="str">
        <f t="shared" si="318"/>
        <v/>
      </c>
      <c r="AY249" s="102" t="str">
        <f t="shared" si="319"/>
        <v/>
      </c>
      <c r="AZ249" s="102"/>
      <c r="BA249" s="102">
        <f>IF(AV249&lt;&gt;0,COUNTIFS($A$7:A249,A249,$AV$7:AV249,"Quên check in"))
+IF(AW249&lt;&gt;0,COUNTIFS($A$7:A249,A249,$AW$7:AW249,"Quên check in"))
+IF(AX249&lt;&gt;0,COUNTIFS($A$7:A249,A249,$AX$7:AX249,"Quên check out"))
+IF(AY249&lt;&gt;0,COUNTIFS($A$7:A249,A249,$AY$7:AY249,"Quên check out"))</f>
        <v>0</v>
      </c>
      <c r="BB249" s="143">
        <f t="shared" si="320"/>
        <v>0</v>
      </c>
    </row>
    <row r="250" spans="1:54" s="83" customFormat="1" ht="14.1" customHeight="1" x14ac:dyDescent="0.3">
      <c r="A250" s="103" t="s">
        <v>7</v>
      </c>
      <c r="B250" s="104" t="s">
        <v>16</v>
      </c>
      <c r="C250" s="105">
        <v>5000000</v>
      </c>
      <c r="D250" s="106">
        <v>43416</v>
      </c>
      <c r="E250" s="107">
        <v>43617</v>
      </c>
      <c r="F250" s="107">
        <v>73415</v>
      </c>
      <c r="G250" s="105">
        <v>26</v>
      </c>
      <c r="H250" s="105">
        <f t="shared" si="387"/>
        <v>2</v>
      </c>
      <c r="I250" s="105"/>
      <c r="J250" s="108">
        <v>43794</v>
      </c>
      <c r="K250" s="108" t="str">
        <f t="shared" si="388"/>
        <v>NV10943794VàoSáng</v>
      </c>
      <c r="L250" s="102" t="str">
        <f>IFERROR(VLOOKUP(K250,'1. Vân tay'!$F:$G,2,0),0)</f>
        <v>07:57:33</v>
      </c>
      <c r="M250" s="108" t="str">
        <f t="shared" si="389"/>
        <v>NV10943794RaSáng</v>
      </c>
      <c r="N250" s="102">
        <f>IFERROR(VLOOKUP(M250,'1. Vân tay'!$F:$G,2,0),0)</f>
        <v>0</v>
      </c>
      <c r="O250" s="108" t="str">
        <f t="shared" si="390"/>
        <v>NV10943794VàoChiều</v>
      </c>
      <c r="P250" s="102">
        <f>IFERROR(VLOOKUP(O250,'1. Vân tay'!$F:$G,2,0),0)</f>
        <v>0</v>
      </c>
      <c r="Q250" s="108" t="str">
        <f t="shared" si="391"/>
        <v>NV10943794RaChiều</v>
      </c>
      <c r="R250" s="102" t="str">
        <f>IFERROR(VLOOKUP(Q250,'1. Vân tay'!$F:$G,2,0),0)</f>
        <v>17:39:21</v>
      </c>
      <c r="S250" s="102">
        <f t="shared" si="392"/>
        <v>0</v>
      </c>
      <c r="T250" s="109">
        <v>0.33333333333333331</v>
      </c>
      <c r="U250" s="109">
        <v>0.5</v>
      </c>
      <c r="V250" s="109">
        <v>0.5625</v>
      </c>
      <c r="W250" s="109">
        <v>0.72916666666666663</v>
      </c>
      <c r="X250" s="102">
        <f>HDSD!$F$4</f>
        <v>5</v>
      </c>
      <c r="Y250" s="102">
        <f>SUMIFS('2. Đi muộn về sớm'!$K:$K,
'2. Đi muộn về sớm'!$B:$B,$A250,
'2. Đi muộn về sớm'!$D:$D,$J250)</f>
        <v>0</v>
      </c>
      <c r="Z250" s="110">
        <f t="shared" si="393"/>
        <v>0</v>
      </c>
      <c r="AA250" s="110">
        <f t="shared" si="394"/>
        <v>0</v>
      </c>
      <c r="AB250" s="111">
        <f t="shared" si="395"/>
        <v>0</v>
      </c>
      <c r="AC250" s="112">
        <f t="shared" si="307"/>
        <v>0</v>
      </c>
      <c r="AD250" s="113">
        <f t="shared" si="308"/>
        <v>0</v>
      </c>
      <c r="AE250" s="111">
        <f t="shared" si="396"/>
        <v>0</v>
      </c>
      <c r="AF250" s="113">
        <f t="shared" si="309"/>
        <v>0</v>
      </c>
      <c r="AG250" s="113">
        <f t="shared" si="310"/>
        <v>0</v>
      </c>
      <c r="AH250" s="114">
        <f t="shared" si="347"/>
        <v>9.6966666666666672</v>
      </c>
      <c r="AI250" s="102" t="str">
        <f t="shared" si="311"/>
        <v>X:8</v>
      </c>
      <c r="AJ250" s="102" t="str">
        <f t="shared" si="312"/>
        <v>NV10943794</v>
      </c>
      <c r="AK250" s="102" t="str">
        <f>IF(OR(J250&lt;D250,J250&gt;F250),"",
IFERROR(INDEX('3. Đơn xin nghỉ'!$K:$K,MATCH('4. Tổng hợp dữ liệu'!AJ250,'3. Đơn xin nghỉ'!$I:$I,0),1),
IF(AND(AU250="Không CC",I250&lt;&gt;1),"Ro:8","")))</f>
        <v/>
      </c>
      <c r="AL250" s="102" t="str">
        <f t="shared" si="313"/>
        <v/>
      </c>
      <c r="AM250" s="102" t="str">
        <f t="shared" si="397"/>
        <v>X:8</v>
      </c>
      <c r="AN250" s="102" t="s">
        <v>92</v>
      </c>
      <c r="AO250" s="102"/>
      <c r="AP250" s="115">
        <f>IFERROR(VLOOKUP(AN250,'Quy đổi công'!A:D,3,0),0)</f>
        <v>1</v>
      </c>
      <c r="AQ250" s="115">
        <f>IFERROR(VLOOKUP(AN250,'Quy đổi công'!A:D,4,0),0)</f>
        <v>0</v>
      </c>
      <c r="AR250" s="115">
        <f t="shared" si="314"/>
        <v>0</v>
      </c>
      <c r="AS250" s="115">
        <f t="shared" si="398"/>
        <v>1</v>
      </c>
      <c r="AT250" s="115">
        <f t="shared" si="399"/>
        <v>0</v>
      </c>
      <c r="AU250" s="102" t="str">
        <f t="shared" si="315"/>
        <v/>
      </c>
      <c r="AV250" s="102" t="str">
        <f t="shared" si="316"/>
        <v/>
      </c>
      <c r="AW250" s="102" t="str">
        <f t="shared" si="317"/>
        <v/>
      </c>
      <c r="AX250" s="102" t="str">
        <f t="shared" si="318"/>
        <v/>
      </c>
      <c r="AY250" s="102" t="str">
        <f t="shared" si="319"/>
        <v/>
      </c>
      <c r="AZ250" s="102"/>
      <c r="BA250" s="102">
        <f>IF(AV250&lt;&gt;0,COUNTIFS($A$7:A250,A250,$AV$7:AV250,"Quên check in"))
+IF(AW250&lt;&gt;0,COUNTIFS($A$7:A250,A250,$AW$7:AW250,"Quên check in"))
+IF(AX250&lt;&gt;0,COUNTIFS($A$7:A250,A250,$AX$7:AX250,"Quên check out"))
+IF(AY250&lt;&gt;0,COUNTIFS($A$7:A250,A250,$AY$7:AY250,"Quên check out"))</f>
        <v>0</v>
      </c>
      <c r="BB250" s="143">
        <f t="shared" si="320"/>
        <v>0</v>
      </c>
    </row>
    <row r="251" spans="1:54" s="83" customFormat="1" ht="14.1" customHeight="1" x14ac:dyDescent="0.3">
      <c r="A251" s="103" t="s">
        <v>8</v>
      </c>
      <c r="B251" s="104" t="s">
        <v>17</v>
      </c>
      <c r="C251" s="105">
        <v>5000000</v>
      </c>
      <c r="D251" s="106">
        <v>43423</v>
      </c>
      <c r="E251" s="107">
        <v>43617</v>
      </c>
      <c r="F251" s="107">
        <v>73415</v>
      </c>
      <c r="G251" s="105">
        <v>26</v>
      </c>
      <c r="H251" s="105">
        <f t="shared" si="387"/>
        <v>2</v>
      </c>
      <c r="I251" s="105"/>
      <c r="J251" s="108">
        <v>43794</v>
      </c>
      <c r="K251" s="108" t="str">
        <f t="shared" si="388"/>
        <v>NV11343794VàoSáng</v>
      </c>
      <c r="L251" s="102" t="str">
        <f>IFERROR(VLOOKUP(K251,'1. Vân tay'!$F:$G,2,0),0)</f>
        <v>07:47:57</v>
      </c>
      <c r="M251" s="108" t="str">
        <f t="shared" si="389"/>
        <v>NV11343794RaSáng</v>
      </c>
      <c r="N251" s="102">
        <f>IFERROR(VLOOKUP(M251,'1. Vân tay'!$F:$G,2,0),0)</f>
        <v>0</v>
      </c>
      <c r="O251" s="108" t="str">
        <f t="shared" si="390"/>
        <v>NV11343794VàoChiều</v>
      </c>
      <c r="P251" s="102">
        <f>IFERROR(VLOOKUP(O251,'1. Vân tay'!$F:$G,2,0),0)</f>
        <v>0</v>
      </c>
      <c r="Q251" s="108" t="str">
        <f t="shared" si="391"/>
        <v>NV11343794RaChiều</v>
      </c>
      <c r="R251" s="102" t="str">
        <f>IFERROR(VLOOKUP(Q251,'1. Vân tay'!$F:$G,2,0),0)</f>
        <v>17:49:17</v>
      </c>
      <c r="S251" s="102">
        <f t="shared" si="392"/>
        <v>0</v>
      </c>
      <c r="T251" s="109">
        <v>0.33333333333333331</v>
      </c>
      <c r="U251" s="109">
        <v>0.5</v>
      </c>
      <c r="V251" s="109">
        <v>0.5625</v>
      </c>
      <c r="W251" s="109">
        <v>0.72916666666666663</v>
      </c>
      <c r="X251" s="102">
        <f>HDSD!$F$4</f>
        <v>5</v>
      </c>
      <c r="Y251" s="102">
        <f>SUMIFS('2. Đi muộn về sớm'!$K:$K,
'2. Đi muộn về sớm'!$B:$B,$A251,
'2. Đi muộn về sớm'!$D:$D,$J251)</f>
        <v>0</v>
      </c>
      <c r="Z251" s="110">
        <f t="shared" si="393"/>
        <v>0</v>
      </c>
      <c r="AA251" s="110">
        <f t="shared" si="394"/>
        <v>0</v>
      </c>
      <c r="AB251" s="111">
        <f t="shared" si="395"/>
        <v>0</v>
      </c>
      <c r="AC251" s="112">
        <f t="shared" si="307"/>
        <v>0</v>
      </c>
      <c r="AD251" s="113">
        <f t="shared" si="308"/>
        <v>0</v>
      </c>
      <c r="AE251" s="111">
        <f t="shared" si="396"/>
        <v>0</v>
      </c>
      <c r="AF251" s="113">
        <f t="shared" si="309"/>
        <v>0</v>
      </c>
      <c r="AG251" s="113">
        <f t="shared" si="310"/>
        <v>0</v>
      </c>
      <c r="AH251" s="114">
        <f t="shared" si="347"/>
        <v>10.022222222222224</v>
      </c>
      <c r="AI251" s="102" t="str">
        <f t="shared" si="311"/>
        <v>X:8</v>
      </c>
      <c r="AJ251" s="102" t="str">
        <f t="shared" si="312"/>
        <v>NV11343794</v>
      </c>
      <c r="AK251" s="102" t="str">
        <f>IF(OR(J251&lt;D251,J251&gt;F251),"",
IFERROR(INDEX('3. Đơn xin nghỉ'!$K:$K,MATCH('4. Tổng hợp dữ liệu'!AJ251,'3. Đơn xin nghỉ'!$I:$I,0),1),
IF(AND(AU251="Không CC",I251&lt;&gt;1),"Ro:8","")))</f>
        <v/>
      </c>
      <c r="AL251" s="102" t="str">
        <f t="shared" si="313"/>
        <v/>
      </c>
      <c r="AM251" s="102" t="str">
        <f t="shared" si="397"/>
        <v>X:8</v>
      </c>
      <c r="AN251" s="102" t="s">
        <v>92</v>
      </c>
      <c r="AO251" s="102"/>
      <c r="AP251" s="115">
        <f>IFERROR(VLOOKUP(AN251,'Quy đổi công'!A:D,3,0),0)</f>
        <v>1</v>
      </c>
      <c r="AQ251" s="115">
        <f>IFERROR(VLOOKUP(AN251,'Quy đổi công'!A:D,4,0),0)</f>
        <v>0</v>
      </c>
      <c r="AR251" s="115">
        <f t="shared" si="314"/>
        <v>0</v>
      </c>
      <c r="AS251" s="115">
        <f t="shared" si="398"/>
        <v>1</v>
      </c>
      <c r="AT251" s="115">
        <f t="shared" si="399"/>
        <v>0</v>
      </c>
      <c r="AU251" s="102" t="str">
        <f t="shared" si="315"/>
        <v/>
      </c>
      <c r="AV251" s="102" t="str">
        <f t="shared" si="316"/>
        <v/>
      </c>
      <c r="AW251" s="102" t="str">
        <f t="shared" si="317"/>
        <v/>
      </c>
      <c r="AX251" s="102" t="str">
        <f t="shared" si="318"/>
        <v/>
      </c>
      <c r="AY251" s="102" t="str">
        <f t="shared" si="319"/>
        <v/>
      </c>
      <c r="AZ251" s="102"/>
      <c r="BA251" s="102">
        <f>IF(AV251&lt;&gt;0,COUNTIFS($A$7:A251,A251,$AV$7:AV251,"Quên check in"))
+IF(AW251&lt;&gt;0,COUNTIFS($A$7:A251,A251,$AW$7:AW251,"Quên check in"))
+IF(AX251&lt;&gt;0,COUNTIFS($A$7:A251,A251,$AX$7:AX251,"Quên check out"))
+IF(AY251&lt;&gt;0,COUNTIFS($A$7:A251,A251,$AY$7:AY251,"Quên check out"))</f>
        <v>1</v>
      </c>
      <c r="BB251" s="143">
        <f t="shared" si="320"/>
        <v>0</v>
      </c>
    </row>
    <row r="252" spans="1:54" s="83" customFormat="1" ht="14.1" customHeight="1" x14ac:dyDescent="0.3">
      <c r="A252" s="103" t="s">
        <v>9</v>
      </c>
      <c r="B252" s="104" t="s">
        <v>18</v>
      </c>
      <c r="C252" s="105">
        <v>4900000</v>
      </c>
      <c r="D252" s="106">
        <v>43437</v>
      </c>
      <c r="E252" s="107">
        <v>43617</v>
      </c>
      <c r="F252" s="107">
        <v>73415</v>
      </c>
      <c r="G252" s="105">
        <v>26</v>
      </c>
      <c r="H252" s="105">
        <f t="shared" si="387"/>
        <v>2</v>
      </c>
      <c r="I252" s="105"/>
      <c r="J252" s="108">
        <v>43794</v>
      </c>
      <c r="K252" s="108" t="str">
        <f t="shared" si="388"/>
        <v>NV11443794VàoSáng</v>
      </c>
      <c r="L252" s="102">
        <f>IFERROR(VLOOKUP(K252,'1. Vân tay'!$F:$G,2,0),0)</f>
        <v>0</v>
      </c>
      <c r="M252" s="108" t="str">
        <f t="shared" si="389"/>
        <v>NV11443794RaSáng</v>
      </c>
      <c r="N252" s="102">
        <f>IFERROR(VLOOKUP(M252,'1. Vân tay'!$F:$G,2,0),0)</f>
        <v>0</v>
      </c>
      <c r="O252" s="108" t="str">
        <f t="shared" si="390"/>
        <v>NV11443794VàoChiều</v>
      </c>
      <c r="P252" s="102">
        <f>IFERROR(VLOOKUP(O252,'1. Vân tay'!$F:$G,2,0),0)</f>
        <v>0</v>
      </c>
      <c r="Q252" s="108" t="str">
        <f t="shared" si="391"/>
        <v>NV11443794RaChiều</v>
      </c>
      <c r="R252" s="102">
        <f>IFERROR(VLOOKUP(Q252,'1. Vân tay'!$F:$G,2,0),0)</f>
        <v>0</v>
      </c>
      <c r="S252" s="102">
        <f t="shared" si="392"/>
        <v>0</v>
      </c>
      <c r="T252" s="109">
        <v>0.33333333333333331</v>
      </c>
      <c r="U252" s="109">
        <v>0.5</v>
      </c>
      <c r="V252" s="109">
        <v>0.5625</v>
      </c>
      <c r="W252" s="109">
        <v>0.72916666666666663</v>
      </c>
      <c r="X252" s="102">
        <f>HDSD!$F$4</f>
        <v>5</v>
      </c>
      <c r="Y252" s="102">
        <f>SUMIFS('2. Đi muộn về sớm'!$K:$K,
'2. Đi muộn về sớm'!$B:$B,$A252,
'2. Đi muộn về sớm'!$D:$D,$J252)</f>
        <v>0</v>
      </c>
      <c r="Z252" s="110">
        <f t="shared" si="393"/>
        <v>0</v>
      </c>
      <c r="AA252" s="110">
        <f t="shared" si="394"/>
        <v>0</v>
      </c>
      <c r="AB252" s="111">
        <f t="shared" si="395"/>
        <v>0</v>
      </c>
      <c r="AC252" s="112">
        <f t="shared" si="307"/>
        <v>0</v>
      </c>
      <c r="AD252" s="113">
        <f t="shared" si="308"/>
        <v>0</v>
      </c>
      <c r="AE252" s="111">
        <f t="shared" si="396"/>
        <v>0</v>
      </c>
      <c r="AF252" s="113">
        <f t="shared" si="309"/>
        <v>0</v>
      </c>
      <c r="AG252" s="113">
        <f t="shared" si="310"/>
        <v>0</v>
      </c>
      <c r="AH252" s="114">
        <f t="shared" si="347"/>
        <v>0</v>
      </c>
      <c r="AI252" s="102" t="str">
        <f t="shared" si="311"/>
        <v/>
      </c>
      <c r="AJ252" s="102" t="str">
        <f t="shared" si="312"/>
        <v>NV11443794</v>
      </c>
      <c r="AK252" s="102" t="str">
        <f>IF(OR(J252&lt;D252,J252&gt;F252),"",
IFERROR(INDEX('3. Đơn xin nghỉ'!$K:$K,MATCH('4. Tổng hợp dữ liệu'!AJ252,'3. Đơn xin nghỉ'!$I:$I,0),1),
IF(AND(AU252="Không CC",I252&lt;&gt;1),"Ro:8","")))</f>
        <v>Ro:8</v>
      </c>
      <c r="AL252" s="102" t="str">
        <f t="shared" si="313"/>
        <v/>
      </c>
      <c r="AM252" s="102" t="str">
        <f t="shared" si="397"/>
        <v>Ro:8</v>
      </c>
      <c r="AN252" s="102" t="s">
        <v>81</v>
      </c>
      <c r="AO252" s="102"/>
      <c r="AP252" s="115">
        <f>IFERROR(VLOOKUP(AN252,'Quy đổi công'!A:D,3,0),0)</f>
        <v>0</v>
      </c>
      <c r="AQ252" s="115">
        <f>IFERROR(VLOOKUP(AN252,'Quy đổi công'!A:D,4,0),0)</f>
        <v>1</v>
      </c>
      <c r="AR252" s="115">
        <f t="shared" si="314"/>
        <v>0</v>
      </c>
      <c r="AS252" s="115">
        <f t="shared" si="398"/>
        <v>0</v>
      </c>
      <c r="AT252" s="115">
        <f t="shared" si="399"/>
        <v>0</v>
      </c>
      <c r="AU252" s="102" t="str">
        <f t="shared" si="315"/>
        <v>Không CC</v>
      </c>
      <c r="AV252" s="102" t="str">
        <f t="shared" si="316"/>
        <v/>
      </c>
      <c r="AW252" s="102" t="str">
        <f t="shared" si="317"/>
        <v/>
      </c>
      <c r="AX252" s="102" t="str">
        <f t="shared" si="318"/>
        <v/>
      </c>
      <c r="AY252" s="102" t="str">
        <f t="shared" si="319"/>
        <v/>
      </c>
      <c r="AZ252" s="102"/>
      <c r="BA252" s="102">
        <f>IF(AV252&lt;&gt;0,COUNTIFS($A$7:A252,A252,$AV$7:AV252,"Quên check in"))
+IF(AW252&lt;&gt;0,COUNTIFS($A$7:A252,A252,$AW$7:AW252,"Quên check in"))
+IF(AX252&lt;&gt;0,COUNTIFS($A$7:A252,A252,$AX$7:AX252,"Quên check out"))
+IF(AY252&lt;&gt;0,COUNTIFS($A$7:A252,A252,$AY$7:AY252,"Quên check out"))</f>
        <v>1</v>
      </c>
      <c r="BB252" s="143">
        <f t="shared" si="320"/>
        <v>0</v>
      </c>
    </row>
    <row r="253" spans="1:54" s="83" customFormat="1" ht="14.1" customHeight="1" x14ac:dyDescent="0.3">
      <c r="A253" s="103" t="s">
        <v>10</v>
      </c>
      <c r="B253" s="104" t="s">
        <v>19</v>
      </c>
      <c r="C253" s="105">
        <v>5000000</v>
      </c>
      <c r="D253" s="106">
        <v>43445</v>
      </c>
      <c r="E253" s="107">
        <v>43647</v>
      </c>
      <c r="F253" s="107">
        <v>73415</v>
      </c>
      <c r="G253" s="105">
        <v>26</v>
      </c>
      <c r="H253" s="105">
        <f t="shared" si="387"/>
        <v>2</v>
      </c>
      <c r="I253" s="105"/>
      <c r="J253" s="108">
        <v>43794</v>
      </c>
      <c r="K253" s="108" t="str">
        <f t="shared" si="388"/>
        <v>NV11843794VàoSáng</v>
      </c>
      <c r="L253" s="102" t="str">
        <f>IFERROR(VLOOKUP(K253,'1. Vân tay'!$F:$G,2,0),0)</f>
        <v>08:01:36</v>
      </c>
      <c r="M253" s="108" t="str">
        <f t="shared" si="389"/>
        <v>NV11843794RaSáng</v>
      </c>
      <c r="N253" s="102">
        <f>IFERROR(VLOOKUP(M253,'1. Vân tay'!$F:$G,2,0),0)</f>
        <v>0</v>
      </c>
      <c r="O253" s="108" t="str">
        <f t="shared" si="390"/>
        <v>NV11843794VàoChiều</v>
      </c>
      <c r="P253" s="102">
        <f>IFERROR(VLOOKUP(O253,'1. Vân tay'!$F:$G,2,0),0)</f>
        <v>0</v>
      </c>
      <c r="Q253" s="108" t="str">
        <f t="shared" si="391"/>
        <v>NV11843794RaChiều</v>
      </c>
      <c r="R253" s="102" t="str">
        <f>IFERROR(VLOOKUP(Q253,'1. Vân tay'!$F:$G,2,0),0)</f>
        <v>17:50:18</v>
      </c>
      <c r="S253" s="102">
        <f t="shared" si="392"/>
        <v>0</v>
      </c>
      <c r="T253" s="109">
        <v>0.33333333333333331</v>
      </c>
      <c r="U253" s="109">
        <v>0.5</v>
      </c>
      <c r="V253" s="109">
        <v>0.5625</v>
      </c>
      <c r="W253" s="109">
        <v>0.72916666666666663</v>
      </c>
      <c r="X253" s="102">
        <f>HDSD!$F$4</f>
        <v>5</v>
      </c>
      <c r="Y253" s="102">
        <f>SUMIFS('2. Đi muộn về sớm'!$K:$K,
'2. Đi muộn về sớm'!$B:$B,$A253,
'2. Đi muộn về sớm'!$D:$D,$J253)</f>
        <v>0</v>
      </c>
      <c r="Z253" s="110">
        <f t="shared" si="393"/>
        <v>1.6</v>
      </c>
      <c r="AA253" s="110">
        <f t="shared" si="394"/>
        <v>0</v>
      </c>
      <c r="AB253" s="111">
        <f t="shared" si="395"/>
        <v>1.6</v>
      </c>
      <c r="AC253" s="112">
        <f t="shared" si="307"/>
        <v>0</v>
      </c>
      <c r="AD253" s="113">
        <f t="shared" si="308"/>
        <v>0</v>
      </c>
      <c r="AE253" s="111">
        <f t="shared" si="396"/>
        <v>0</v>
      </c>
      <c r="AF253" s="113">
        <f t="shared" si="309"/>
        <v>0</v>
      </c>
      <c r="AG253" s="113">
        <f t="shared" si="310"/>
        <v>0</v>
      </c>
      <c r="AH253" s="114">
        <f t="shared" si="347"/>
        <v>9.8116666666666674</v>
      </c>
      <c r="AI253" s="102" t="str">
        <f t="shared" si="311"/>
        <v>X:8</v>
      </c>
      <c r="AJ253" s="102" t="str">
        <f t="shared" si="312"/>
        <v>NV11843794</v>
      </c>
      <c r="AK253" s="102" t="str">
        <f>IF(OR(J253&lt;D253,J253&gt;F253),"",
IFERROR(INDEX('3. Đơn xin nghỉ'!$K:$K,MATCH('4. Tổng hợp dữ liệu'!AJ253,'3. Đơn xin nghỉ'!$I:$I,0),1),
IF(AND(AU253="Không CC",I253&lt;&gt;1),"Ro:8","")))</f>
        <v/>
      </c>
      <c r="AL253" s="102" t="str">
        <f t="shared" si="313"/>
        <v/>
      </c>
      <c r="AM253" s="102" t="str">
        <f t="shared" si="397"/>
        <v>X:8</v>
      </c>
      <c r="AN253" s="102" t="s">
        <v>92</v>
      </c>
      <c r="AO253" s="102"/>
      <c r="AP253" s="115">
        <f>IFERROR(VLOOKUP(AN253,'Quy đổi công'!A:D,3,0),0)</f>
        <v>1</v>
      </c>
      <c r="AQ253" s="115">
        <f>IFERROR(VLOOKUP(AN253,'Quy đổi công'!A:D,4,0),0)</f>
        <v>0</v>
      </c>
      <c r="AR253" s="115">
        <f t="shared" si="314"/>
        <v>0</v>
      </c>
      <c r="AS253" s="115">
        <f t="shared" si="398"/>
        <v>1</v>
      </c>
      <c r="AT253" s="115">
        <f t="shared" si="399"/>
        <v>0</v>
      </c>
      <c r="AU253" s="102" t="str">
        <f t="shared" si="315"/>
        <v/>
      </c>
      <c r="AV253" s="102" t="str">
        <f t="shared" si="316"/>
        <v/>
      </c>
      <c r="AW253" s="102" t="str">
        <f t="shared" si="317"/>
        <v/>
      </c>
      <c r="AX253" s="102" t="str">
        <f t="shared" si="318"/>
        <v/>
      </c>
      <c r="AY253" s="102" t="str">
        <f t="shared" si="319"/>
        <v/>
      </c>
      <c r="AZ253" s="102"/>
      <c r="BA253" s="102">
        <f>IF(AV253&lt;&gt;0,COUNTIFS($A$7:A253,A253,$AV$7:AV253,"Quên check in"))
+IF(AW253&lt;&gt;0,COUNTIFS($A$7:A253,A253,$AW$7:AW253,"Quên check in"))
+IF(AX253&lt;&gt;0,COUNTIFS($A$7:A253,A253,$AX$7:AX253,"Quên check out"))
+IF(AY253&lt;&gt;0,COUNTIFS($A$7:A253,A253,$AY$7:AY253,"Quên check out"))</f>
        <v>1</v>
      </c>
      <c r="BB253" s="143">
        <f t="shared" si="320"/>
        <v>0</v>
      </c>
    </row>
    <row r="254" spans="1:54" s="83" customFormat="1" ht="14.1" customHeight="1" x14ac:dyDescent="0.3">
      <c r="A254" s="103" t="s">
        <v>11</v>
      </c>
      <c r="B254" s="104" t="s">
        <v>20</v>
      </c>
      <c r="C254" s="105">
        <v>4700000</v>
      </c>
      <c r="D254" s="106">
        <v>43467</v>
      </c>
      <c r="E254" s="107">
        <v>43617</v>
      </c>
      <c r="F254" s="107">
        <v>73415</v>
      </c>
      <c r="G254" s="105">
        <v>26</v>
      </c>
      <c r="H254" s="105">
        <f t="shared" si="387"/>
        <v>2</v>
      </c>
      <c r="I254" s="105"/>
      <c r="J254" s="108">
        <v>43794</v>
      </c>
      <c r="K254" s="108" t="str">
        <f t="shared" si="388"/>
        <v>NV12243794VàoSáng</v>
      </c>
      <c r="L254" s="102" t="str">
        <f>IFERROR(VLOOKUP(K254,'1. Vân tay'!$F:$G,2,0),0)</f>
        <v>08:03:51</v>
      </c>
      <c r="M254" s="108" t="str">
        <f t="shared" si="389"/>
        <v>NV12243794RaSáng</v>
      </c>
      <c r="N254" s="102">
        <f>IFERROR(VLOOKUP(M254,'1. Vân tay'!$F:$G,2,0),0)</f>
        <v>0</v>
      </c>
      <c r="O254" s="108" t="str">
        <f t="shared" si="390"/>
        <v>NV12243794VàoChiều</v>
      </c>
      <c r="P254" s="102">
        <f>IFERROR(VLOOKUP(O254,'1. Vân tay'!$F:$G,2,0),0)</f>
        <v>0</v>
      </c>
      <c r="Q254" s="108" t="str">
        <f t="shared" si="391"/>
        <v>NV12243794RaChiều</v>
      </c>
      <c r="R254" s="102" t="str">
        <f>IFERROR(VLOOKUP(Q254,'1. Vân tay'!$F:$G,2,0),0)</f>
        <v>17:34:16</v>
      </c>
      <c r="S254" s="102">
        <f t="shared" si="392"/>
        <v>0</v>
      </c>
      <c r="T254" s="109">
        <v>0.33333333333333331</v>
      </c>
      <c r="U254" s="109">
        <v>0.5</v>
      </c>
      <c r="V254" s="109">
        <v>0.5625</v>
      </c>
      <c r="W254" s="109">
        <v>0.72916666666666663</v>
      </c>
      <c r="X254" s="102">
        <f>HDSD!$F$4</f>
        <v>5</v>
      </c>
      <c r="Y254" s="102">
        <f>SUMIFS('2. Đi muộn về sớm'!$K:$K,
'2. Đi muộn về sớm'!$B:$B,$A254,
'2. Đi muộn về sớm'!$D:$D,$J254)</f>
        <v>0</v>
      </c>
      <c r="Z254" s="110">
        <f t="shared" si="393"/>
        <v>3.85</v>
      </c>
      <c r="AA254" s="110">
        <f t="shared" si="394"/>
        <v>0</v>
      </c>
      <c r="AB254" s="111">
        <f t="shared" si="395"/>
        <v>3.85</v>
      </c>
      <c r="AC254" s="112">
        <f t="shared" si="307"/>
        <v>0</v>
      </c>
      <c r="AD254" s="113">
        <f t="shared" si="308"/>
        <v>0</v>
      </c>
      <c r="AE254" s="111">
        <f t="shared" si="396"/>
        <v>0</v>
      </c>
      <c r="AF254" s="113">
        <f t="shared" si="309"/>
        <v>0</v>
      </c>
      <c r="AG254" s="113">
        <f t="shared" si="310"/>
        <v>0</v>
      </c>
      <c r="AH254" s="114">
        <f t="shared" si="347"/>
        <v>9.5069444444444446</v>
      </c>
      <c r="AI254" s="102" t="str">
        <f t="shared" si="311"/>
        <v>X:8</v>
      </c>
      <c r="AJ254" s="102" t="str">
        <f t="shared" si="312"/>
        <v>NV12243794</v>
      </c>
      <c r="AK254" s="102" t="str">
        <f>IF(OR(J254&lt;D254,J254&gt;F254),"",
IFERROR(INDEX('3. Đơn xin nghỉ'!$K:$K,MATCH('4. Tổng hợp dữ liệu'!AJ254,'3. Đơn xin nghỉ'!$I:$I,0),1),
IF(AND(AU254="Không CC",I254&lt;&gt;1),"Ro:8","")))</f>
        <v/>
      </c>
      <c r="AL254" s="102" t="str">
        <f t="shared" si="313"/>
        <v/>
      </c>
      <c r="AM254" s="102" t="str">
        <f t="shared" si="397"/>
        <v>X:8</v>
      </c>
      <c r="AN254" s="102" t="s">
        <v>92</v>
      </c>
      <c r="AO254" s="102"/>
      <c r="AP254" s="115">
        <f>IFERROR(VLOOKUP(AN254,'Quy đổi công'!A:D,3,0),0)</f>
        <v>1</v>
      </c>
      <c r="AQ254" s="115">
        <f>IFERROR(VLOOKUP(AN254,'Quy đổi công'!A:D,4,0),0)</f>
        <v>0</v>
      </c>
      <c r="AR254" s="115">
        <f t="shared" si="314"/>
        <v>0</v>
      </c>
      <c r="AS254" s="115">
        <f t="shared" si="398"/>
        <v>1</v>
      </c>
      <c r="AT254" s="115">
        <f t="shared" si="399"/>
        <v>0</v>
      </c>
      <c r="AU254" s="102" t="str">
        <f t="shared" si="315"/>
        <v/>
      </c>
      <c r="AV254" s="102" t="str">
        <f t="shared" si="316"/>
        <v/>
      </c>
      <c r="AW254" s="102" t="str">
        <f t="shared" si="317"/>
        <v/>
      </c>
      <c r="AX254" s="102" t="str">
        <f t="shared" si="318"/>
        <v/>
      </c>
      <c r="AY254" s="102" t="str">
        <f t="shared" si="319"/>
        <v/>
      </c>
      <c r="AZ254" s="102"/>
      <c r="BA254" s="102">
        <f>IF(AV254&lt;&gt;0,COUNTIFS($A$7:A254,A254,$AV$7:AV254,"Quên check in"))
+IF(AW254&lt;&gt;0,COUNTIFS($A$7:A254,A254,$AW$7:AW254,"Quên check in"))
+IF(AX254&lt;&gt;0,COUNTIFS($A$7:A254,A254,$AX$7:AX254,"Quên check out"))
+IF(AY254&lt;&gt;0,COUNTIFS($A$7:A254,A254,$AY$7:AY254,"Quên check out"))</f>
        <v>1</v>
      </c>
      <c r="BB254" s="143">
        <f t="shared" si="320"/>
        <v>0</v>
      </c>
    </row>
    <row r="255" spans="1:54" s="83" customFormat="1" ht="14.1" customHeight="1" x14ac:dyDescent="0.3">
      <c r="A255" s="103" t="s">
        <v>12</v>
      </c>
      <c r="B255" s="104" t="s">
        <v>21</v>
      </c>
      <c r="C255" s="105">
        <v>5000000</v>
      </c>
      <c r="D255" s="106">
        <v>43482</v>
      </c>
      <c r="E255" s="107">
        <v>43647</v>
      </c>
      <c r="F255" s="107">
        <v>73415</v>
      </c>
      <c r="G255" s="105">
        <v>26</v>
      </c>
      <c r="H255" s="105">
        <f t="shared" si="387"/>
        <v>2</v>
      </c>
      <c r="I255" s="105"/>
      <c r="J255" s="108">
        <v>43794</v>
      </c>
      <c r="K255" s="108" t="str">
        <f t="shared" si="388"/>
        <v>NV12343794VàoSáng</v>
      </c>
      <c r="L255" s="102" t="str">
        <f>IFERROR(VLOOKUP(K255,'1. Vân tay'!$F:$G,2,0),0)</f>
        <v>07:48:19</v>
      </c>
      <c r="M255" s="108" t="str">
        <f t="shared" si="389"/>
        <v>NV12343794RaSáng</v>
      </c>
      <c r="N255" s="102">
        <f>IFERROR(VLOOKUP(M255,'1. Vân tay'!$F:$G,2,0),0)</f>
        <v>0</v>
      </c>
      <c r="O255" s="108" t="str">
        <f t="shared" si="390"/>
        <v>NV12343794VàoChiều</v>
      </c>
      <c r="P255" s="102">
        <f>IFERROR(VLOOKUP(O255,'1. Vân tay'!$F:$G,2,0),0)</f>
        <v>0</v>
      </c>
      <c r="Q255" s="108" t="str">
        <f t="shared" si="391"/>
        <v>NV12343794RaChiều</v>
      </c>
      <c r="R255" s="102" t="str">
        <f>IFERROR(VLOOKUP(Q255,'1. Vân tay'!$F:$G,2,0),0)</f>
        <v>17:36:24</v>
      </c>
      <c r="S255" s="102">
        <f t="shared" si="392"/>
        <v>0</v>
      </c>
      <c r="T255" s="109">
        <v>0.33333333333333331</v>
      </c>
      <c r="U255" s="109">
        <v>0.5</v>
      </c>
      <c r="V255" s="109">
        <v>0.5625</v>
      </c>
      <c r="W255" s="109">
        <v>0.72916666666666663</v>
      </c>
      <c r="X255" s="102">
        <f>HDSD!$F$4</f>
        <v>5</v>
      </c>
      <c r="Y255" s="102">
        <f>SUMIFS('2. Đi muộn về sớm'!$K:$K,
'2. Đi muộn về sớm'!$B:$B,$A255,
'2. Đi muộn về sớm'!$D:$D,$J255)</f>
        <v>0</v>
      </c>
      <c r="Z255" s="110">
        <f t="shared" si="393"/>
        <v>0</v>
      </c>
      <c r="AA255" s="110">
        <f t="shared" si="394"/>
        <v>0</v>
      </c>
      <c r="AB255" s="111">
        <f t="shared" si="395"/>
        <v>0</v>
      </c>
      <c r="AC255" s="112">
        <f t="shared" si="307"/>
        <v>0</v>
      </c>
      <c r="AD255" s="113">
        <f t="shared" si="308"/>
        <v>0</v>
      </c>
      <c r="AE255" s="111">
        <f t="shared" si="396"/>
        <v>0</v>
      </c>
      <c r="AF255" s="113">
        <f t="shared" si="309"/>
        <v>0</v>
      </c>
      <c r="AG255" s="113">
        <f t="shared" si="310"/>
        <v>0</v>
      </c>
      <c r="AH255" s="114">
        <f t="shared" si="347"/>
        <v>9.8013888888888889</v>
      </c>
      <c r="AI255" s="102" t="str">
        <f t="shared" si="311"/>
        <v>X:8</v>
      </c>
      <c r="AJ255" s="102" t="str">
        <f t="shared" si="312"/>
        <v>NV12343794</v>
      </c>
      <c r="AK255" s="102" t="str">
        <f>IF(OR(J255&lt;D255,J255&gt;F255),"",
IFERROR(INDEX('3. Đơn xin nghỉ'!$K:$K,MATCH('4. Tổng hợp dữ liệu'!AJ255,'3. Đơn xin nghỉ'!$I:$I,0),1),
IF(AND(AU255="Không CC",I255&lt;&gt;1),"Ro:8","")))</f>
        <v/>
      </c>
      <c r="AL255" s="102" t="str">
        <f t="shared" si="313"/>
        <v/>
      </c>
      <c r="AM255" s="102" t="str">
        <f t="shared" si="397"/>
        <v>X:8</v>
      </c>
      <c r="AN255" s="102" t="s">
        <v>92</v>
      </c>
      <c r="AO255" s="102"/>
      <c r="AP255" s="115">
        <f>IFERROR(VLOOKUP(AN255,'Quy đổi công'!A:D,3,0),0)</f>
        <v>1</v>
      </c>
      <c r="AQ255" s="115">
        <f>IFERROR(VLOOKUP(AN255,'Quy đổi công'!A:D,4,0),0)</f>
        <v>0</v>
      </c>
      <c r="AR255" s="115">
        <f t="shared" si="314"/>
        <v>0</v>
      </c>
      <c r="AS255" s="115">
        <f t="shared" si="398"/>
        <v>1</v>
      </c>
      <c r="AT255" s="115">
        <f t="shared" si="399"/>
        <v>0</v>
      </c>
      <c r="AU255" s="102" t="str">
        <f t="shared" si="315"/>
        <v/>
      </c>
      <c r="AV255" s="102" t="str">
        <f t="shared" si="316"/>
        <v/>
      </c>
      <c r="AW255" s="102" t="str">
        <f t="shared" si="317"/>
        <v/>
      </c>
      <c r="AX255" s="102" t="str">
        <f t="shared" si="318"/>
        <v/>
      </c>
      <c r="AY255" s="102" t="str">
        <f t="shared" si="319"/>
        <v/>
      </c>
      <c r="AZ255" s="102"/>
      <c r="BA255" s="102">
        <f>IF(AV255&lt;&gt;0,COUNTIFS($A$7:A255,A255,$AV$7:AV255,"Quên check in"))
+IF(AW255&lt;&gt;0,COUNTIFS($A$7:A255,A255,$AW$7:AW255,"Quên check in"))
+IF(AX255&lt;&gt;0,COUNTIFS($A$7:A255,A255,$AX$7:AX255,"Quên check out"))
+IF(AY255&lt;&gt;0,COUNTIFS($A$7:A255,A255,$AY$7:AY255,"Quên check out"))</f>
        <v>1</v>
      </c>
      <c r="BB255" s="143">
        <f t="shared" si="320"/>
        <v>0</v>
      </c>
    </row>
    <row r="256" spans="1:54" s="83" customFormat="1" ht="14.1" customHeight="1" x14ac:dyDescent="0.3">
      <c r="A256" s="103" t="s">
        <v>13</v>
      </c>
      <c r="B256" s="104" t="s">
        <v>22</v>
      </c>
      <c r="C256" s="105">
        <v>4700000</v>
      </c>
      <c r="D256" s="106">
        <v>43531</v>
      </c>
      <c r="E256" s="107">
        <v>43647</v>
      </c>
      <c r="F256" s="107">
        <v>73415</v>
      </c>
      <c r="G256" s="105">
        <v>26</v>
      </c>
      <c r="H256" s="105">
        <f t="shared" si="387"/>
        <v>2</v>
      </c>
      <c r="I256" s="105"/>
      <c r="J256" s="108">
        <v>43794</v>
      </c>
      <c r="K256" s="108" t="str">
        <f t="shared" si="388"/>
        <v>NV12643794VàoSáng</v>
      </c>
      <c r="L256" s="102" t="str">
        <f>IFERROR(VLOOKUP(K256,'1. Vân tay'!$F:$G,2,0),0)</f>
        <v>07:55:04</v>
      </c>
      <c r="M256" s="108" t="str">
        <f t="shared" si="389"/>
        <v>NV12643794RaSáng</v>
      </c>
      <c r="N256" s="102">
        <f>IFERROR(VLOOKUP(M256,'1. Vân tay'!$F:$G,2,0),0)</f>
        <v>0</v>
      </c>
      <c r="O256" s="108" t="str">
        <f t="shared" si="390"/>
        <v>NV12643794VàoChiều</v>
      </c>
      <c r="P256" s="102">
        <f>IFERROR(VLOOKUP(O256,'1. Vân tay'!$F:$G,2,0),0)</f>
        <v>0</v>
      </c>
      <c r="Q256" s="108" t="str">
        <f t="shared" si="391"/>
        <v>NV12643794RaChiều</v>
      </c>
      <c r="R256" s="102" t="str">
        <f>IFERROR(VLOOKUP(Q256,'1. Vân tay'!$F:$G,2,0),0)</f>
        <v>17:35:48</v>
      </c>
      <c r="S256" s="102">
        <f t="shared" si="392"/>
        <v>0</v>
      </c>
      <c r="T256" s="109">
        <v>0.33333333333333331</v>
      </c>
      <c r="U256" s="109">
        <v>0.5</v>
      </c>
      <c r="V256" s="109">
        <v>0.5625</v>
      </c>
      <c r="W256" s="109">
        <v>0.72916666666666663</v>
      </c>
      <c r="X256" s="102">
        <f>HDSD!$F$4</f>
        <v>5</v>
      </c>
      <c r="Y256" s="102">
        <f>SUMIFS('2. Đi muộn về sớm'!$K:$K,
'2. Đi muộn về sớm'!$B:$B,$A256,
'2. Đi muộn về sớm'!$D:$D,$J256)</f>
        <v>0</v>
      </c>
      <c r="Z256" s="110">
        <f t="shared" si="393"/>
        <v>0</v>
      </c>
      <c r="AA256" s="110">
        <f t="shared" si="394"/>
        <v>0</v>
      </c>
      <c r="AB256" s="111">
        <f t="shared" si="395"/>
        <v>0</v>
      </c>
      <c r="AC256" s="112">
        <f t="shared" si="307"/>
        <v>0</v>
      </c>
      <c r="AD256" s="113">
        <f t="shared" si="308"/>
        <v>0</v>
      </c>
      <c r="AE256" s="111">
        <f t="shared" si="396"/>
        <v>0</v>
      </c>
      <c r="AF256" s="113">
        <f t="shared" si="309"/>
        <v>0</v>
      </c>
      <c r="AG256" s="113">
        <f t="shared" si="310"/>
        <v>0</v>
      </c>
      <c r="AH256" s="114">
        <f t="shared" si="347"/>
        <v>9.6788888888888884</v>
      </c>
      <c r="AI256" s="102" t="str">
        <f t="shared" si="311"/>
        <v>X:8</v>
      </c>
      <c r="AJ256" s="102" t="str">
        <f t="shared" si="312"/>
        <v>NV12643794</v>
      </c>
      <c r="AK256" s="102" t="str">
        <f>IF(OR(J256&lt;D256,J256&gt;F256),"",
IFERROR(INDEX('3. Đơn xin nghỉ'!$K:$K,MATCH('4. Tổng hợp dữ liệu'!AJ256,'3. Đơn xin nghỉ'!$I:$I,0),1),
IF(AND(AU256="Không CC",I256&lt;&gt;1),"Ro:8","")))</f>
        <v/>
      </c>
      <c r="AL256" s="102" t="str">
        <f t="shared" si="313"/>
        <v/>
      </c>
      <c r="AM256" s="102" t="str">
        <f t="shared" si="397"/>
        <v>X:8</v>
      </c>
      <c r="AN256" s="102" t="s">
        <v>92</v>
      </c>
      <c r="AO256" s="102"/>
      <c r="AP256" s="115">
        <f>IFERROR(VLOOKUP(AN256,'Quy đổi công'!A:D,3,0),0)</f>
        <v>1</v>
      </c>
      <c r="AQ256" s="115">
        <f>IFERROR(VLOOKUP(AN256,'Quy đổi công'!A:D,4,0),0)</f>
        <v>0</v>
      </c>
      <c r="AR256" s="115">
        <f t="shared" si="314"/>
        <v>0</v>
      </c>
      <c r="AS256" s="115">
        <f t="shared" si="398"/>
        <v>1</v>
      </c>
      <c r="AT256" s="115">
        <f t="shared" si="399"/>
        <v>0</v>
      </c>
      <c r="AU256" s="102" t="str">
        <f t="shared" si="315"/>
        <v/>
      </c>
      <c r="AV256" s="102" t="str">
        <f t="shared" si="316"/>
        <v/>
      </c>
      <c r="AW256" s="102" t="str">
        <f t="shared" si="317"/>
        <v/>
      </c>
      <c r="AX256" s="102" t="str">
        <f t="shared" si="318"/>
        <v/>
      </c>
      <c r="AY256" s="102" t="str">
        <f t="shared" si="319"/>
        <v/>
      </c>
      <c r="AZ256" s="102"/>
      <c r="BA256" s="102">
        <f>IF(AV256&lt;&gt;0,COUNTIFS($A$7:A256,A256,$AV$7:AV256,"Quên check in"))
+IF(AW256&lt;&gt;0,COUNTIFS($A$7:A256,A256,$AW$7:AW256,"Quên check in"))
+IF(AX256&lt;&gt;0,COUNTIFS($A$7:A256,A256,$AX$7:AX256,"Quên check out"))
+IF(AY256&lt;&gt;0,COUNTIFS($A$7:A256,A256,$AY$7:AY256,"Quên check out"))</f>
        <v>0</v>
      </c>
      <c r="BB256" s="143">
        <f t="shared" si="320"/>
        <v>0</v>
      </c>
    </row>
    <row r="257" spans="1:54" s="83" customFormat="1" ht="14.1" customHeight="1" x14ac:dyDescent="0.3">
      <c r="A257" s="103" t="s">
        <v>4</v>
      </c>
      <c r="B257" s="104" t="s">
        <v>14</v>
      </c>
      <c r="C257" s="105">
        <v>4700000</v>
      </c>
      <c r="D257" s="106">
        <v>43388</v>
      </c>
      <c r="E257" s="107">
        <v>43525</v>
      </c>
      <c r="F257" s="107">
        <v>73415</v>
      </c>
      <c r="G257" s="105">
        <v>26</v>
      </c>
      <c r="H257" s="105">
        <f t="shared" ref="H257:H266" si="400">WEEKDAY(J257,1)</f>
        <v>3</v>
      </c>
      <c r="I257" s="105"/>
      <c r="J257" s="108">
        <v>43795</v>
      </c>
      <c r="K257" s="108" t="str">
        <f t="shared" ref="K257:K266" si="401">$A257&amp;$J257&amp;"Vào"&amp;"Sáng"</f>
        <v>NV10143795VàoSáng</v>
      </c>
      <c r="L257" s="102" t="str">
        <f>IFERROR(VLOOKUP(K257,'1. Vân tay'!$F:$G,2,0),0)</f>
        <v>08:04:22</v>
      </c>
      <c r="M257" s="108" t="str">
        <f t="shared" ref="M257:M266" si="402">$A257&amp;$J257&amp;"Ra"&amp;"Sáng"</f>
        <v>NV10143795RaSáng</v>
      </c>
      <c r="N257" s="102">
        <f>IFERROR(VLOOKUP(M257,'1. Vân tay'!$F:$G,2,0),0)</f>
        <v>0</v>
      </c>
      <c r="O257" s="108" t="str">
        <f t="shared" ref="O257:O266" si="403">$A257&amp;$J257&amp;"Vào"&amp;"Chiều"</f>
        <v>NV10143795VàoChiều</v>
      </c>
      <c r="P257" s="102">
        <f>IFERROR(VLOOKUP(O257,'1. Vân tay'!$F:$G,2,0),0)</f>
        <v>0</v>
      </c>
      <c r="Q257" s="108" t="str">
        <f t="shared" ref="Q257:Q266" si="404">$A257&amp;$J257&amp;"Ra"&amp;"Chiều"</f>
        <v>NV10143795RaChiều</v>
      </c>
      <c r="R257" s="102" t="str">
        <f>IFERROR(VLOOKUP(Q257,'1. Vân tay'!$F:$G,2,0),0)</f>
        <v>17:29:40</v>
      </c>
      <c r="S257" s="102">
        <f t="shared" ref="S257:S266" si="405">IF(OR(
(AND(L257&lt;&gt;0,P257&lt;&gt;0)),
(AND(N257&lt;&gt;0,R257&lt;&gt;0))),"Kiểm tra",0)</f>
        <v>0</v>
      </c>
      <c r="T257" s="109">
        <v>0.33333333333333331</v>
      </c>
      <c r="U257" s="109">
        <v>0.5</v>
      </c>
      <c r="V257" s="109">
        <v>0.5625</v>
      </c>
      <c r="W257" s="109">
        <v>0.72916666666666663</v>
      </c>
      <c r="X257" s="102">
        <f>HDSD!$F$4</f>
        <v>5</v>
      </c>
      <c r="Y257" s="102">
        <f>SUMIFS('2. Đi muộn về sớm'!$K:$K,
'2. Đi muộn về sớm'!$B:$B,$A257,
'2. Đi muộn về sớm'!$D:$D,$J257)</f>
        <v>0</v>
      </c>
      <c r="Z257" s="110">
        <f t="shared" ref="Z257:Z266" si="406">IF(L257=0,0,IFERROR((HOUR(L257-T257)*60+MINUTE(L257-T257)+SECOND(L257-T257)/60),0))
+IF(N257=0,0, IFERROR((HOUR(U257-N257)*60+MINUTE(U257-N257)+SECOND(U257-N257)/60),0))
+IF(P257=0,0, IFERROR((HOUR(P257-V257)*60+MINUTE(P257-V257)+SECOND(P257-V257)/60),0))
+IF(R257=0,0, IFERROR((HOUR(W257-R257)*60+MINUTE(W257-R257)+SECOND(W257-R257)/60),0))</f>
        <v>4.6999999999999993</v>
      </c>
      <c r="AA257" s="110">
        <f t="shared" ref="AA257:AA266" si="407">IF(L257=0,0,IFERROR((HOUR(L257-"09:00:00")*60+MINUTE(L257-"09:00:00")+SECOND(L257-"09:00:00")/60),0))
+IF(N257=0,0, IFERROR((HOUR(U257-N257)*60+MINUTE(U257-N257)+SECOND(U257-N257)/60),0))
+IF(P257=0,0, IFERROR((HOUR(P257-V257)*60+MINUTE(P257-V257)+SECOND(P257-V257)/60),0))
+IF(R257=0,0, IFERROR((HOUR("16:30:00"-R257)*60+MINUTE("16:30:00"-R257)+SECOND("16:30:00"-R257)/60),0))</f>
        <v>0</v>
      </c>
      <c r="AB257" s="111">
        <f t="shared" ref="AB257:AB266" si="408">Z257-AA257</f>
        <v>4.6999999999999993</v>
      </c>
      <c r="AC257" s="112">
        <f t="shared" si="307"/>
        <v>0</v>
      </c>
      <c r="AD257" s="113">
        <f t="shared" si="308"/>
        <v>0</v>
      </c>
      <c r="AE257" s="111">
        <f t="shared" ref="AE257:AE266" si="409">AA257/60/8</f>
        <v>0</v>
      </c>
      <c r="AF257" s="113">
        <f t="shared" si="309"/>
        <v>0</v>
      </c>
      <c r="AG257" s="113">
        <f t="shared" si="310"/>
        <v>0</v>
      </c>
      <c r="AH257" s="114">
        <f t="shared" si="347"/>
        <v>9.4216666666666669</v>
      </c>
      <c r="AI257" s="102" t="str">
        <f t="shared" si="311"/>
        <v>X:8</v>
      </c>
      <c r="AJ257" s="102" t="str">
        <f t="shared" si="312"/>
        <v>NV10143795</v>
      </c>
      <c r="AK257" s="102" t="str">
        <f>IF(OR(J257&lt;D257,J257&gt;F257),"",
IFERROR(INDEX('3. Đơn xin nghỉ'!$K:$K,MATCH('4. Tổng hợp dữ liệu'!AJ257,'3. Đơn xin nghỉ'!$I:$I,0),1),
IF(AND(AU257="Không CC",I257&lt;&gt;1),"Ro:8","")))</f>
        <v/>
      </c>
      <c r="AL257" s="102" t="str">
        <f t="shared" si="313"/>
        <v/>
      </c>
      <c r="AM257" s="102" t="str">
        <f t="shared" ref="AM257:AM266" si="410">IF(OR(AI257="",AK257=""),AI257&amp;AK257,AI257&amp;","&amp;AK257)&amp;AL257</f>
        <v>X:8</v>
      </c>
      <c r="AN257" s="102" t="s">
        <v>92</v>
      </c>
      <c r="AO257" s="102"/>
      <c r="AP257" s="115">
        <f>IFERROR(VLOOKUP(AN257,'Quy đổi công'!A:D,3,0),0)</f>
        <v>1</v>
      </c>
      <c r="AQ257" s="115">
        <f>IFERROR(VLOOKUP(AN257,'Quy đổi công'!A:D,4,0),0)</f>
        <v>0</v>
      </c>
      <c r="AR257" s="115">
        <f t="shared" si="314"/>
        <v>0</v>
      </c>
      <c r="AS257" s="115">
        <f t="shared" ref="AS257:AS266" si="411">AP257-AR257</f>
        <v>1</v>
      </c>
      <c r="AT257" s="115">
        <f t="shared" ref="AT257:AT266" si="412">IF(AN257="P8",1)
+IF(OR(AN257="X:4,P:4",AN257="P:4,Rv:4",AN257="P:4,Ro:4"),1/2)</f>
        <v>0</v>
      </c>
      <c r="AU257" s="102" t="str">
        <f t="shared" si="315"/>
        <v/>
      </c>
      <c r="AV257" s="102" t="str">
        <f t="shared" si="316"/>
        <v/>
      </c>
      <c r="AW257" s="102" t="str">
        <f t="shared" si="317"/>
        <v/>
      </c>
      <c r="AX257" s="102" t="str">
        <f t="shared" si="318"/>
        <v/>
      </c>
      <c r="AY257" s="102" t="str">
        <f t="shared" si="319"/>
        <v/>
      </c>
      <c r="AZ257" s="102"/>
      <c r="BA257" s="102">
        <f>IF(AV257&lt;&gt;0,COUNTIFS($A$7:A257,A257,$AV$7:AV257,"Quên check in"))
+IF(AW257&lt;&gt;0,COUNTIFS($A$7:A257,A257,$AW$7:AW257,"Quên check in"))
+IF(AX257&lt;&gt;0,COUNTIFS($A$7:A257,A257,$AX$7:AX257,"Quên check out"))
+IF(AY257&lt;&gt;0,COUNTIFS($A$7:A257,A257,$AY$7:AY257,"Quên check out"))</f>
        <v>0</v>
      </c>
      <c r="BB257" s="143">
        <f t="shared" si="320"/>
        <v>0</v>
      </c>
    </row>
    <row r="258" spans="1:54" s="83" customFormat="1" ht="14.1" customHeight="1" x14ac:dyDescent="0.3">
      <c r="A258" s="103" t="s">
        <v>5</v>
      </c>
      <c r="B258" s="104" t="s">
        <v>28</v>
      </c>
      <c r="C258" s="105">
        <v>10000000</v>
      </c>
      <c r="D258" s="106">
        <v>43409</v>
      </c>
      <c r="E258" s="107">
        <v>43678</v>
      </c>
      <c r="F258" s="107">
        <v>73415</v>
      </c>
      <c r="G258" s="105">
        <v>26</v>
      </c>
      <c r="H258" s="105">
        <f t="shared" si="400"/>
        <v>3</v>
      </c>
      <c r="I258" s="105"/>
      <c r="J258" s="108">
        <v>43795</v>
      </c>
      <c r="K258" s="108" t="str">
        <f t="shared" si="401"/>
        <v>NV10743795VàoSáng</v>
      </c>
      <c r="L258" s="102" t="str">
        <f>IFERROR(VLOOKUP(K258,'1. Vân tay'!$F:$G,2,0),0)</f>
        <v>07:51:56</v>
      </c>
      <c r="M258" s="108" t="str">
        <f t="shared" si="402"/>
        <v>NV10743795RaSáng</v>
      </c>
      <c r="N258" s="102">
        <f>IFERROR(VLOOKUP(M258,'1. Vân tay'!$F:$G,2,0),0)</f>
        <v>0</v>
      </c>
      <c r="O258" s="108" t="str">
        <f t="shared" si="403"/>
        <v>NV10743795VàoChiều</v>
      </c>
      <c r="P258" s="102">
        <f>IFERROR(VLOOKUP(O258,'1. Vân tay'!$F:$G,2,0),0)</f>
        <v>0</v>
      </c>
      <c r="Q258" s="108" t="str">
        <f t="shared" si="404"/>
        <v>NV10743795RaChiều</v>
      </c>
      <c r="R258" s="102" t="str">
        <f>IFERROR(VLOOKUP(Q258,'1. Vân tay'!$F:$G,2,0),0)</f>
        <v>17:39:36</v>
      </c>
      <c r="S258" s="102">
        <f t="shared" si="405"/>
        <v>0</v>
      </c>
      <c r="T258" s="109">
        <v>0.33333333333333331</v>
      </c>
      <c r="U258" s="109">
        <v>0.5</v>
      </c>
      <c r="V258" s="109">
        <v>0.5625</v>
      </c>
      <c r="W258" s="109">
        <v>0.72916666666666663</v>
      </c>
      <c r="X258" s="102">
        <f>HDSD!$F$4</f>
        <v>5</v>
      </c>
      <c r="Y258" s="102">
        <f>SUMIFS('2. Đi muộn về sớm'!$K:$K,
'2. Đi muộn về sớm'!$B:$B,$A258,
'2. Đi muộn về sớm'!$D:$D,$J258)</f>
        <v>0</v>
      </c>
      <c r="Z258" s="110">
        <f t="shared" si="406"/>
        <v>0</v>
      </c>
      <c r="AA258" s="110">
        <f t="shared" si="407"/>
        <v>0</v>
      </c>
      <c r="AB258" s="111">
        <f t="shared" si="408"/>
        <v>0</v>
      </c>
      <c r="AC258" s="112">
        <f t="shared" si="307"/>
        <v>0</v>
      </c>
      <c r="AD258" s="113">
        <f t="shared" si="308"/>
        <v>0</v>
      </c>
      <c r="AE258" s="111">
        <f t="shared" si="409"/>
        <v>0</v>
      </c>
      <c r="AF258" s="113">
        <f t="shared" si="309"/>
        <v>0</v>
      </c>
      <c r="AG258" s="113">
        <f t="shared" si="310"/>
        <v>0</v>
      </c>
      <c r="AH258" s="114">
        <f t="shared" si="347"/>
        <v>9.7944444444444443</v>
      </c>
      <c r="AI258" s="102" t="str">
        <f t="shared" si="311"/>
        <v>X:8</v>
      </c>
      <c r="AJ258" s="102" t="str">
        <f t="shared" si="312"/>
        <v>NV10743795</v>
      </c>
      <c r="AK258" s="102" t="str">
        <f>IF(OR(J258&lt;D258,J258&gt;F258),"",
IFERROR(INDEX('3. Đơn xin nghỉ'!$K:$K,MATCH('4. Tổng hợp dữ liệu'!AJ258,'3. Đơn xin nghỉ'!$I:$I,0),1),
IF(AND(AU258="Không CC",I258&lt;&gt;1),"Ro:8","")))</f>
        <v/>
      </c>
      <c r="AL258" s="102" t="str">
        <f t="shared" si="313"/>
        <v/>
      </c>
      <c r="AM258" s="102" t="str">
        <f t="shared" si="410"/>
        <v>X:8</v>
      </c>
      <c r="AN258" s="102" t="s">
        <v>92</v>
      </c>
      <c r="AO258" s="102"/>
      <c r="AP258" s="115">
        <f>IFERROR(VLOOKUP(AN258,'Quy đổi công'!A:D,3,0),0)</f>
        <v>1</v>
      </c>
      <c r="AQ258" s="115">
        <f>IFERROR(VLOOKUP(AN258,'Quy đổi công'!A:D,4,0),0)</f>
        <v>0</v>
      </c>
      <c r="AR258" s="115">
        <f t="shared" si="314"/>
        <v>0</v>
      </c>
      <c r="AS258" s="115">
        <f t="shared" si="411"/>
        <v>1</v>
      </c>
      <c r="AT258" s="115">
        <f t="shared" si="412"/>
        <v>0</v>
      </c>
      <c r="AU258" s="102" t="str">
        <f t="shared" si="315"/>
        <v/>
      </c>
      <c r="AV258" s="102" t="str">
        <f t="shared" si="316"/>
        <v/>
      </c>
      <c r="AW258" s="102" t="str">
        <f t="shared" si="317"/>
        <v/>
      </c>
      <c r="AX258" s="102" t="str">
        <f t="shared" si="318"/>
        <v/>
      </c>
      <c r="AY258" s="102" t="str">
        <f t="shared" si="319"/>
        <v/>
      </c>
      <c r="AZ258" s="102"/>
      <c r="BA258" s="102">
        <f>IF(AV258&lt;&gt;0,COUNTIFS($A$7:A258,A258,$AV$7:AV258,"Quên check in"))
+IF(AW258&lt;&gt;0,COUNTIFS($A$7:A258,A258,$AW$7:AW258,"Quên check in"))
+IF(AX258&lt;&gt;0,COUNTIFS($A$7:A258,A258,$AX$7:AX258,"Quên check out"))
+IF(AY258&lt;&gt;0,COUNTIFS($A$7:A258,A258,$AY$7:AY258,"Quên check out"))</f>
        <v>4</v>
      </c>
      <c r="BB258" s="143">
        <f t="shared" si="320"/>
        <v>50000</v>
      </c>
    </row>
    <row r="259" spans="1:54" s="83" customFormat="1" ht="14.1" customHeight="1" x14ac:dyDescent="0.3">
      <c r="A259" s="103" t="s">
        <v>6</v>
      </c>
      <c r="B259" s="104" t="s">
        <v>15</v>
      </c>
      <c r="C259" s="105">
        <v>4700000</v>
      </c>
      <c r="D259" s="106">
        <v>43409</v>
      </c>
      <c r="E259" s="107">
        <v>43617</v>
      </c>
      <c r="F259" s="107">
        <v>73415</v>
      </c>
      <c r="G259" s="105">
        <v>26</v>
      </c>
      <c r="H259" s="105">
        <f t="shared" si="400"/>
        <v>3</v>
      </c>
      <c r="I259" s="105"/>
      <c r="J259" s="108">
        <v>43795</v>
      </c>
      <c r="K259" s="108" t="str">
        <f t="shared" si="401"/>
        <v>NV10843795VàoSáng</v>
      </c>
      <c r="L259" s="102" t="str">
        <f>IFERROR(VLOOKUP(K259,'1. Vân tay'!$F:$G,2,0),0)</f>
        <v>08:01:30</v>
      </c>
      <c r="M259" s="108" t="str">
        <f t="shared" si="402"/>
        <v>NV10843795RaSáng</v>
      </c>
      <c r="N259" s="102">
        <f>IFERROR(VLOOKUP(M259,'1. Vân tay'!$F:$G,2,0),0)</f>
        <v>0</v>
      </c>
      <c r="O259" s="108" t="str">
        <f t="shared" si="403"/>
        <v>NV10843795VàoChiều</v>
      </c>
      <c r="P259" s="102">
        <f>IFERROR(VLOOKUP(O259,'1. Vân tay'!$F:$G,2,0),0)</f>
        <v>0</v>
      </c>
      <c r="Q259" s="108" t="str">
        <f t="shared" si="404"/>
        <v>NV10843795RaChiều</v>
      </c>
      <c r="R259" s="102" t="str">
        <f>IFERROR(VLOOKUP(Q259,'1. Vân tay'!$F:$G,2,0),0)</f>
        <v>17:34:42</v>
      </c>
      <c r="S259" s="102">
        <f t="shared" si="405"/>
        <v>0</v>
      </c>
      <c r="T259" s="109">
        <v>0.33333333333333331</v>
      </c>
      <c r="U259" s="109">
        <v>0.5</v>
      </c>
      <c r="V259" s="109">
        <v>0.5625</v>
      </c>
      <c r="W259" s="109">
        <v>0.72916666666666663</v>
      </c>
      <c r="X259" s="102">
        <f>HDSD!$F$4</f>
        <v>5</v>
      </c>
      <c r="Y259" s="102">
        <f>SUMIFS('2. Đi muộn về sớm'!$K:$K,
'2. Đi muộn về sớm'!$B:$B,$A259,
'2. Đi muộn về sớm'!$D:$D,$J259)</f>
        <v>0</v>
      </c>
      <c r="Z259" s="110">
        <f t="shared" si="406"/>
        <v>1.5</v>
      </c>
      <c r="AA259" s="110">
        <f t="shared" si="407"/>
        <v>0</v>
      </c>
      <c r="AB259" s="111">
        <f t="shared" si="408"/>
        <v>1.5</v>
      </c>
      <c r="AC259" s="112">
        <f t="shared" si="307"/>
        <v>0</v>
      </c>
      <c r="AD259" s="113">
        <f t="shared" si="308"/>
        <v>0</v>
      </c>
      <c r="AE259" s="111">
        <f t="shared" si="409"/>
        <v>0</v>
      </c>
      <c r="AF259" s="113">
        <f t="shared" si="309"/>
        <v>0</v>
      </c>
      <c r="AG259" s="113">
        <f t="shared" si="310"/>
        <v>0</v>
      </c>
      <c r="AH259" s="114">
        <f t="shared" si="347"/>
        <v>9.5533333333333346</v>
      </c>
      <c r="AI259" s="102" t="str">
        <f t="shared" si="311"/>
        <v>X:8</v>
      </c>
      <c r="AJ259" s="102" t="str">
        <f t="shared" si="312"/>
        <v>NV10843795</v>
      </c>
      <c r="AK259" s="102" t="str">
        <f>IF(OR(J259&lt;D259,J259&gt;F259),"",
IFERROR(INDEX('3. Đơn xin nghỉ'!$K:$K,MATCH('4. Tổng hợp dữ liệu'!AJ259,'3. Đơn xin nghỉ'!$I:$I,0),1),
IF(AND(AU259="Không CC",I259&lt;&gt;1),"Ro:8","")))</f>
        <v/>
      </c>
      <c r="AL259" s="102" t="str">
        <f t="shared" si="313"/>
        <v/>
      </c>
      <c r="AM259" s="102" t="str">
        <f t="shared" si="410"/>
        <v>X:8</v>
      </c>
      <c r="AN259" s="102" t="s">
        <v>92</v>
      </c>
      <c r="AO259" s="102"/>
      <c r="AP259" s="115">
        <f>IFERROR(VLOOKUP(AN259,'Quy đổi công'!A:D,3,0),0)</f>
        <v>1</v>
      </c>
      <c r="AQ259" s="115">
        <f>IFERROR(VLOOKUP(AN259,'Quy đổi công'!A:D,4,0),0)</f>
        <v>0</v>
      </c>
      <c r="AR259" s="115">
        <f t="shared" si="314"/>
        <v>0</v>
      </c>
      <c r="AS259" s="115">
        <f t="shared" si="411"/>
        <v>1</v>
      </c>
      <c r="AT259" s="115">
        <f t="shared" si="412"/>
        <v>0</v>
      </c>
      <c r="AU259" s="102" t="str">
        <f t="shared" si="315"/>
        <v/>
      </c>
      <c r="AV259" s="102" t="str">
        <f t="shared" si="316"/>
        <v/>
      </c>
      <c r="AW259" s="102" t="str">
        <f t="shared" si="317"/>
        <v/>
      </c>
      <c r="AX259" s="102" t="str">
        <f t="shared" si="318"/>
        <v/>
      </c>
      <c r="AY259" s="102" t="str">
        <f t="shared" si="319"/>
        <v/>
      </c>
      <c r="AZ259" s="102"/>
      <c r="BA259" s="102">
        <f>IF(AV259&lt;&gt;0,COUNTIFS($A$7:A259,A259,$AV$7:AV259,"Quên check in"))
+IF(AW259&lt;&gt;0,COUNTIFS($A$7:A259,A259,$AW$7:AW259,"Quên check in"))
+IF(AX259&lt;&gt;0,COUNTIFS($A$7:A259,A259,$AX$7:AX259,"Quên check out"))
+IF(AY259&lt;&gt;0,COUNTIFS($A$7:A259,A259,$AY$7:AY259,"Quên check out"))</f>
        <v>0</v>
      </c>
      <c r="BB259" s="143">
        <f t="shared" si="320"/>
        <v>0</v>
      </c>
    </row>
    <row r="260" spans="1:54" s="83" customFormat="1" ht="14.1" customHeight="1" x14ac:dyDescent="0.3">
      <c r="A260" s="103" t="s">
        <v>7</v>
      </c>
      <c r="B260" s="104" t="s">
        <v>16</v>
      </c>
      <c r="C260" s="105">
        <v>5000000</v>
      </c>
      <c r="D260" s="106">
        <v>43416</v>
      </c>
      <c r="E260" s="107">
        <v>43617</v>
      </c>
      <c r="F260" s="107">
        <v>73415</v>
      </c>
      <c r="G260" s="105">
        <v>26</v>
      </c>
      <c r="H260" s="105">
        <f t="shared" si="400"/>
        <v>3</v>
      </c>
      <c r="I260" s="105"/>
      <c r="J260" s="108">
        <v>43795</v>
      </c>
      <c r="K260" s="108" t="str">
        <f t="shared" si="401"/>
        <v>NV10943795VàoSáng</v>
      </c>
      <c r="L260" s="102" t="str">
        <f>IFERROR(VLOOKUP(K260,'1. Vân tay'!$F:$G,2,0),0)</f>
        <v>07:52:21</v>
      </c>
      <c r="M260" s="108" t="str">
        <f t="shared" si="402"/>
        <v>NV10943795RaSáng</v>
      </c>
      <c r="N260" s="102">
        <f>IFERROR(VLOOKUP(M260,'1. Vân tay'!$F:$G,2,0),0)</f>
        <v>0</v>
      </c>
      <c r="O260" s="108" t="str">
        <f t="shared" si="403"/>
        <v>NV10943795VàoChiều</v>
      </c>
      <c r="P260" s="102">
        <f>IFERROR(VLOOKUP(O260,'1. Vân tay'!$F:$G,2,0),0)</f>
        <v>0</v>
      </c>
      <c r="Q260" s="108" t="str">
        <f t="shared" si="404"/>
        <v>NV10943795RaChiều</v>
      </c>
      <c r="R260" s="102" t="str">
        <f>IFERROR(VLOOKUP(Q260,'1. Vân tay'!$F:$G,2,0),0)</f>
        <v>17:43:11</v>
      </c>
      <c r="S260" s="102">
        <f t="shared" si="405"/>
        <v>0</v>
      </c>
      <c r="T260" s="109">
        <v>0.33333333333333331</v>
      </c>
      <c r="U260" s="109">
        <v>0.5</v>
      </c>
      <c r="V260" s="109">
        <v>0.5625</v>
      </c>
      <c r="W260" s="109">
        <v>0.72916666666666663</v>
      </c>
      <c r="X260" s="102">
        <f>HDSD!$F$4</f>
        <v>5</v>
      </c>
      <c r="Y260" s="102">
        <f>SUMIFS('2. Đi muộn về sớm'!$K:$K,
'2. Đi muộn về sớm'!$B:$B,$A260,
'2. Đi muộn về sớm'!$D:$D,$J260)</f>
        <v>0</v>
      </c>
      <c r="Z260" s="110">
        <f t="shared" si="406"/>
        <v>0</v>
      </c>
      <c r="AA260" s="110">
        <f t="shared" si="407"/>
        <v>0</v>
      </c>
      <c r="AB260" s="111">
        <f t="shared" si="408"/>
        <v>0</v>
      </c>
      <c r="AC260" s="112">
        <f t="shared" si="307"/>
        <v>0</v>
      </c>
      <c r="AD260" s="113">
        <f t="shared" si="308"/>
        <v>0</v>
      </c>
      <c r="AE260" s="111">
        <f t="shared" si="409"/>
        <v>0</v>
      </c>
      <c r="AF260" s="113">
        <f t="shared" si="309"/>
        <v>0</v>
      </c>
      <c r="AG260" s="113">
        <f t="shared" si="310"/>
        <v>0</v>
      </c>
      <c r="AH260" s="114">
        <f t="shared" si="347"/>
        <v>9.8472222222222232</v>
      </c>
      <c r="AI260" s="102" t="str">
        <f t="shared" si="311"/>
        <v>X:8</v>
      </c>
      <c r="AJ260" s="102" t="str">
        <f t="shared" si="312"/>
        <v>NV10943795</v>
      </c>
      <c r="AK260" s="102" t="str">
        <f>IF(OR(J260&lt;D260,J260&gt;F260),"",
IFERROR(INDEX('3. Đơn xin nghỉ'!$K:$K,MATCH('4. Tổng hợp dữ liệu'!AJ260,'3. Đơn xin nghỉ'!$I:$I,0),1),
IF(AND(AU260="Không CC",I260&lt;&gt;1),"Ro:8","")))</f>
        <v/>
      </c>
      <c r="AL260" s="102" t="str">
        <f t="shared" si="313"/>
        <v/>
      </c>
      <c r="AM260" s="102" t="str">
        <f t="shared" si="410"/>
        <v>X:8</v>
      </c>
      <c r="AN260" s="102" t="s">
        <v>92</v>
      </c>
      <c r="AO260" s="102"/>
      <c r="AP260" s="115">
        <f>IFERROR(VLOOKUP(AN260,'Quy đổi công'!A:D,3,0),0)</f>
        <v>1</v>
      </c>
      <c r="AQ260" s="115">
        <f>IFERROR(VLOOKUP(AN260,'Quy đổi công'!A:D,4,0),0)</f>
        <v>0</v>
      </c>
      <c r="AR260" s="115">
        <f t="shared" si="314"/>
        <v>0</v>
      </c>
      <c r="AS260" s="115">
        <f t="shared" si="411"/>
        <v>1</v>
      </c>
      <c r="AT260" s="115">
        <f t="shared" si="412"/>
        <v>0</v>
      </c>
      <c r="AU260" s="102" t="str">
        <f t="shared" si="315"/>
        <v/>
      </c>
      <c r="AV260" s="102" t="str">
        <f t="shared" si="316"/>
        <v/>
      </c>
      <c r="AW260" s="102" t="str">
        <f t="shared" si="317"/>
        <v/>
      </c>
      <c r="AX260" s="102" t="str">
        <f t="shared" si="318"/>
        <v/>
      </c>
      <c r="AY260" s="102" t="str">
        <f t="shared" si="319"/>
        <v/>
      </c>
      <c r="AZ260" s="102"/>
      <c r="BA260" s="102">
        <f>IF(AV260&lt;&gt;0,COUNTIFS($A$7:A260,A260,$AV$7:AV260,"Quên check in"))
+IF(AW260&lt;&gt;0,COUNTIFS($A$7:A260,A260,$AW$7:AW260,"Quên check in"))
+IF(AX260&lt;&gt;0,COUNTIFS($A$7:A260,A260,$AX$7:AX260,"Quên check out"))
+IF(AY260&lt;&gt;0,COUNTIFS($A$7:A260,A260,$AY$7:AY260,"Quên check out"))</f>
        <v>0</v>
      </c>
      <c r="BB260" s="143">
        <f t="shared" si="320"/>
        <v>0</v>
      </c>
    </row>
    <row r="261" spans="1:54" s="83" customFormat="1" ht="14.1" customHeight="1" x14ac:dyDescent="0.3">
      <c r="A261" s="103" t="s">
        <v>8</v>
      </c>
      <c r="B261" s="104" t="s">
        <v>17</v>
      </c>
      <c r="C261" s="105">
        <v>5000000</v>
      </c>
      <c r="D261" s="106">
        <v>43423</v>
      </c>
      <c r="E261" s="107">
        <v>43617</v>
      </c>
      <c r="F261" s="107">
        <v>73415</v>
      </c>
      <c r="G261" s="105">
        <v>26</v>
      </c>
      <c r="H261" s="105">
        <f t="shared" si="400"/>
        <v>3</v>
      </c>
      <c r="I261" s="105"/>
      <c r="J261" s="108">
        <v>43795</v>
      </c>
      <c r="K261" s="108" t="str">
        <f t="shared" si="401"/>
        <v>NV11343795VàoSáng</v>
      </c>
      <c r="L261" s="102" t="str">
        <f>IFERROR(VLOOKUP(K261,'1. Vân tay'!$F:$G,2,0),0)</f>
        <v>07:45:42</v>
      </c>
      <c r="M261" s="108" t="str">
        <f t="shared" si="402"/>
        <v>NV11343795RaSáng</v>
      </c>
      <c r="N261" s="102">
        <f>IFERROR(VLOOKUP(M261,'1. Vân tay'!$F:$G,2,0),0)</f>
        <v>0</v>
      </c>
      <c r="O261" s="108" t="str">
        <f t="shared" si="403"/>
        <v>NV11343795VàoChiều</v>
      </c>
      <c r="P261" s="102">
        <f>IFERROR(VLOOKUP(O261,'1. Vân tay'!$F:$G,2,0),0)</f>
        <v>0</v>
      </c>
      <c r="Q261" s="108" t="str">
        <f t="shared" si="404"/>
        <v>NV11343795RaChiều</v>
      </c>
      <c r="R261" s="102" t="str">
        <f>IFERROR(VLOOKUP(Q261,'1. Vân tay'!$F:$G,2,0),0)</f>
        <v>17:43:34</v>
      </c>
      <c r="S261" s="102">
        <f t="shared" si="405"/>
        <v>0</v>
      </c>
      <c r="T261" s="109">
        <v>0.33333333333333331</v>
      </c>
      <c r="U261" s="109">
        <v>0.5</v>
      </c>
      <c r="V261" s="109">
        <v>0.5625</v>
      </c>
      <c r="W261" s="109">
        <v>0.72916666666666663</v>
      </c>
      <c r="X261" s="102">
        <f>HDSD!$F$4</f>
        <v>5</v>
      </c>
      <c r="Y261" s="102">
        <f>SUMIFS('2. Đi muộn về sớm'!$K:$K,
'2. Đi muộn về sớm'!$B:$B,$A261,
'2. Đi muộn về sớm'!$D:$D,$J261)</f>
        <v>0</v>
      </c>
      <c r="Z261" s="110">
        <f t="shared" si="406"/>
        <v>0</v>
      </c>
      <c r="AA261" s="110">
        <f t="shared" si="407"/>
        <v>0</v>
      </c>
      <c r="AB261" s="111">
        <f t="shared" si="408"/>
        <v>0</v>
      </c>
      <c r="AC261" s="112">
        <f t="shared" si="307"/>
        <v>0</v>
      </c>
      <c r="AD261" s="113">
        <f t="shared" si="308"/>
        <v>0</v>
      </c>
      <c r="AE261" s="111">
        <f t="shared" si="409"/>
        <v>0</v>
      </c>
      <c r="AF261" s="113">
        <f t="shared" si="309"/>
        <v>0</v>
      </c>
      <c r="AG261" s="113">
        <f t="shared" si="310"/>
        <v>0</v>
      </c>
      <c r="AH261" s="114">
        <f t="shared" si="347"/>
        <v>9.9644444444444442</v>
      </c>
      <c r="AI261" s="102" t="str">
        <f t="shared" si="311"/>
        <v>X:8</v>
      </c>
      <c r="AJ261" s="102" t="str">
        <f t="shared" si="312"/>
        <v>NV11343795</v>
      </c>
      <c r="AK261" s="102" t="str">
        <f>IF(OR(J261&lt;D261,J261&gt;F261),"",
IFERROR(INDEX('3. Đơn xin nghỉ'!$K:$K,MATCH('4. Tổng hợp dữ liệu'!AJ261,'3. Đơn xin nghỉ'!$I:$I,0),1),
IF(AND(AU261="Không CC",I261&lt;&gt;1),"Ro:8","")))</f>
        <v/>
      </c>
      <c r="AL261" s="102" t="str">
        <f t="shared" si="313"/>
        <v/>
      </c>
      <c r="AM261" s="102" t="str">
        <f t="shared" si="410"/>
        <v>X:8</v>
      </c>
      <c r="AN261" s="102" t="s">
        <v>92</v>
      </c>
      <c r="AO261" s="102"/>
      <c r="AP261" s="115">
        <f>IFERROR(VLOOKUP(AN261,'Quy đổi công'!A:D,3,0),0)</f>
        <v>1</v>
      </c>
      <c r="AQ261" s="115">
        <f>IFERROR(VLOOKUP(AN261,'Quy đổi công'!A:D,4,0),0)</f>
        <v>0</v>
      </c>
      <c r="AR261" s="115">
        <f t="shared" si="314"/>
        <v>0</v>
      </c>
      <c r="AS261" s="115">
        <f t="shared" si="411"/>
        <v>1</v>
      </c>
      <c r="AT261" s="115">
        <f t="shared" si="412"/>
        <v>0</v>
      </c>
      <c r="AU261" s="102" t="str">
        <f t="shared" si="315"/>
        <v/>
      </c>
      <c r="AV261" s="102" t="str">
        <f t="shared" si="316"/>
        <v/>
      </c>
      <c r="AW261" s="102" t="str">
        <f t="shared" si="317"/>
        <v/>
      </c>
      <c r="AX261" s="102" t="str">
        <f t="shared" si="318"/>
        <v/>
      </c>
      <c r="AY261" s="102" t="str">
        <f t="shared" si="319"/>
        <v/>
      </c>
      <c r="AZ261" s="102"/>
      <c r="BA261" s="102">
        <f>IF(AV261&lt;&gt;0,COUNTIFS($A$7:A261,A261,$AV$7:AV261,"Quên check in"))
+IF(AW261&lt;&gt;0,COUNTIFS($A$7:A261,A261,$AW$7:AW261,"Quên check in"))
+IF(AX261&lt;&gt;0,COUNTIFS($A$7:A261,A261,$AX$7:AX261,"Quên check out"))
+IF(AY261&lt;&gt;0,COUNTIFS($A$7:A261,A261,$AY$7:AY261,"Quên check out"))</f>
        <v>1</v>
      </c>
      <c r="BB261" s="143">
        <f t="shared" si="320"/>
        <v>0</v>
      </c>
    </row>
    <row r="262" spans="1:54" s="83" customFormat="1" ht="14.1" customHeight="1" x14ac:dyDescent="0.3">
      <c r="A262" s="103" t="s">
        <v>9</v>
      </c>
      <c r="B262" s="104" t="s">
        <v>18</v>
      </c>
      <c r="C262" s="105">
        <v>4900000</v>
      </c>
      <c r="D262" s="106">
        <v>43437</v>
      </c>
      <c r="E262" s="107">
        <v>43617</v>
      </c>
      <c r="F262" s="107">
        <v>73415</v>
      </c>
      <c r="G262" s="105">
        <v>26</v>
      </c>
      <c r="H262" s="105">
        <f t="shared" si="400"/>
        <v>3</v>
      </c>
      <c r="I262" s="105"/>
      <c r="J262" s="108">
        <v>43795</v>
      </c>
      <c r="K262" s="108" t="str">
        <f t="shared" si="401"/>
        <v>NV11443795VàoSáng</v>
      </c>
      <c r="L262" s="102">
        <f>IFERROR(VLOOKUP(K262,'1. Vân tay'!$F:$G,2,0),0)</f>
        <v>0</v>
      </c>
      <c r="M262" s="108" t="str">
        <f t="shared" si="402"/>
        <v>NV11443795RaSáng</v>
      </c>
      <c r="N262" s="102">
        <f>IFERROR(VLOOKUP(M262,'1. Vân tay'!$F:$G,2,0),0)</f>
        <v>0</v>
      </c>
      <c r="O262" s="108" t="str">
        <f t="shared" si="403"/>
        <v>NV11443795VàoChiều</v>
      </c>
      <c r="P262" s="102">
        <f>IFERROR(VLOOKUP(O262,'1. Vân tay'!$F:$G,2,0),0)</f>
        <v>0</v>
      </c>
      <c r="Q262" s="108" t="str">
        <f t="shared" si="404"/>
        <v>NV11443795RaChiều</v>
      </c>
      <c r="R262" s="102">
        <f>IFERROR(VLOOKUP(Q262,'1. Vân tay'!$F:$G,2,0),0)</f>
        <v>0</v>
      </c>
      <c r="S262" s="102">
        <f t="shared" si="405"/>
        <v>0</v>
      </c>
      <c r="T262" s="109">
        <v>0.33333333333333331</v>
      </c>
      <c r="U262" s="109">
        <v>0.5</v>
      </c>
      <c r="V262" s="109">
        <v>0.5625</v>
      </c>
      <c r="W262" s="109">
        <v>0.72916666666666663</v>
      </c>
      <c r="X262" s="102">
        <f>HDSD!$F$4</f>
        <v>5</v>
      </c>
      <c r="Y262" s="102">
        <f>SUMIFS('2. Đi muộn về sớm'!$K:$K,
'2. Đi muộn về sớm'!$B:$B,$A262,
'2. Đi muộn về sớm'!$D:$D,$J262)</f>
        <v>0</v>
      </c>
      <c r="Z262" s="110">
        <f t="shared" si="406"/>
        <v>0</v>
      </c>
      <c r="AA262" s="110">
        <f t="shared" si="407"/>
        <v>0</v>
      </c>
      <c r="AB262" s="111">
        <f t="shared" si="408"/>
        <v>0</v>
      </c>
      <c r="AC262" s="112">
        <f t="shared" si="307"/>
        <v>0</v>
      </c>
      <c r="AD262" s="113">
        <f t="shared" si="308"/>
        <v>0</v>
      </c>
      <c r="AE262" s="111">
        <f t="shared" si="409"/>
        <v>0</v>
      </c>
      <c r="AF262" s="113">
        <f t="shared" si="309"/>
        <v>0</v>
      </c>
      <c r="AG262" s="113">
        <f t="shared" si="310"/>
        <v>0</v>
      </c>
      <c r="AH262" s="114">
        <f t="shared" si="347"/>
        <v>0</v>
      </c>
      <c r="AI262" s="102" t="str">
        <f t="shared" si="311"/>
        <v/>
      </c>
      <c r="AJ262" s="102" t="str">
        <f t="shared" si="312"/>
        <v>NV11443795</v>
      </c>
      <c r="AK262" s="102" t="str">
        <f>IF(OR(J262&lt;D262,J262&gt;F262),"",
IFERROR(INDEX('3. Đơn xin nghỉ'!$K:$K,MATCH('4. Tổng hợp dữ liệu'!AJ262,'3. Đơn xin nghỉ'!$I:$I,0),1),
IF(AND(AU262="Không CC",I262&lt;&gt;1),"Ro:8","")))</f>
        <v>Ro:8</v>
      </c>
      <c r="AL262" s="102" t="str">
        <f t="shared" si="313"/>
        <v/>
      </c>
      <c r="AM262" s="102" t="str">
        <f t="shared" si="410"/>
        <v>Ro:8</v>
      </c>
      <c r="AN262" s="102" t="s">
        <v>81</v>
      </c>
      <c r="AO262" s="102"/>
      <c r="AP262" s="115">
        <f>IFERROR(VLOOKUP(AN262,'Quy đổi công'!A:D,3,0),0)</f>
        <v>0</v>
      </c>
      <c r="AQ262" s="115">
        <f>IFERROR(VLOOKUP(AN262,'Quy đổi công'!A:D,4,0),0)</f>
        <v>1</v>
      </c>
      <c r="AR262" s="115">
        <f t="shared" si="314"/>
        <v>0</v>
      </c>
      <c r="AS262" s="115">
        <f t="shared" si="411"/>
        <v>0</v>
      </c>
      <c r="AT262" s="115">
        <f t="shared" si="412"/>
        <v>0</v>
      </c>
      <c r="AU262" s="102" t="str">
        <f t="shared" si="315"/>
        <v>Không CC</v>
      </c>
      <c r="AV262" s="102" t="str">
        <f t="shared" si="316"/>
        <v/>
      </c>
      <c r="AW262" s="102" t="str">
        <f t="shared" si="317"/>
        <v/>
      </c>
      <c r="AX262" s="102" t="str">
        <f t="shared" si="318"/>
        <v/>
      </c>
      <c r="AY262" s="102" t="str">
        <f t="shared" si="319"/>
        <v/>
      </c>
      <c r="AZ262" s="102"/>
      <c r="BA262" s="102">
        <f>IF(AV262&lt;&gt;0,COUNTIFS($A$7:A262,A262,$AV$7:AV262,"Quên check in"))
+IF(AW262&lt;&gt;0,COUNTIFS($A$7:A262,A262,$AW$7:AW262,"Quên check in"))
+IF(AX262&lt;&gt;0,COUNTIFS($A$7:A262,A262,$AX$7:AX262,"Quên check out"))
+IF(AY262&lt;&gt;0,COUNTIFS($A$7:A262,A262,$AY$7:AY262,"Quên check out"))</f>
        <v>1</v>
      </c>
      <c r="BB262" s="143">
        <f t="shared" si="320"/>
        <v>0</v>
      </c>
    </row>
    <row r="263" spans="1:54" s="83" customFormat="1" ht="14.1" customHeight="1" x14ac:dyDescent="0.3">
      <c r="A263" s="103" t="s">
        <v>10</v>
      </c>
      <c r="B263" s="104" t="s">
        <v>19</v>
      </c>
      <c r="C263" s="105">
        <v>5000000</v>
      </c>
      <c r="D263" s="106">
        <v>43445</v>
      </c>
      <c r="E263" s="107">
        <v>43647</v>
      </c>
      <c r="F263" s="107">
        <v>73415</v>
      </c>
      <c r="G263" s="105">
        <v>26</v>
      </c>
      <c r="H263" s="105">
        <f t="shared" si="400"/>
        <v>3</v>
      </c>
      <c r="I263" s="105"/>
      <c r="J263" s="108">
        <v>43795</v>
      </c>
      <c r="K263" s="108" t="str">
        <f t="shared" si="401"/>
        <v>NV11843795VàoSáng</v>
      </c>
      <c r="L263" s="102" t="str">
        <f>IFERROR(VLOOKUP(K263,'1. Vân tay'!$F:$G,2,0),0)</f>
        <v>08:04:19</v>
      </c>
      <c r="M263" s="108" t="str">
        <f t="shared" si="402"/>
        <v>NV11843795RaSáng</v>
      </c>
      <c r="N263" s="102">
        <f>IFERROR(VLOOKUP(M263,'1. Vân tay'!$F:$G,2,0),0)</f>
        <v>0</v>
      </c>
      <c r="O263" s="108" t="str">
        <f t="shared" si="403"/>
        <v>NV11843795VàoChiều</v>
      </c>
      <c r="P263" s="102">
        <f>IFERROR(VLOOKUP(O263,'1. Vân tay'!$F:$G,2,0),0)</f>
        <v>0</v>
      </c>
      <c r="Q263" s="108" t="str">
        <f t="shared" si="404"/>
        <v>NV11843795RaChiều</v>
      </c>
      <c r="R263" s="102" t="str">
        <f>IFERROR(VLOOKUP(Q263,'1. Vân tay'!$F:$G,2,0),0)</f>
        <v>17:31:39</v>
      </c>
      <c r="S263" s="102">
        <f t="shared" si="405"/>
        <v>0</v>
      </c>
      <c r="T263" s="109">
        <v>0.33333333333333331</v>
      </c>
      <c r="U263" s="109">
        <v>0.5</v>
      </c>
      <c r="V263" s="109">
        <v>0.5625</v>
      </c>
      <c r="W263" s="109">
        <v>0.72916666666666663</v>
      </c>
      <c r="X263" s="102">
        <f>HDSD!$F$4</f>
        <v>5</v>
      </c>
      <c r="Y263" s="102">
        <f>SUMIFS('2. Đi muộn về sớm'!$K:$K,
'2. Đi muộn về sớm'!$B:$B,$A263,
'2. Đi muộn về sớm'!$D:$D,$J263)</f>
        <v>0</v>
      </c>
      <c r="Z263" s="110">
        <f t="shared" si="406"/>
        <v>4.3166666666666664</v>
      </c>
      <c r="AA263" s="110">
        <f t="shared" si="407"/>
        <v>0</v>
      </c>
      <c r="AB263" s="111">
        <f t="shared" si="408"/>
        <v>4.3166666666666664</v>
      </c>
      <c r="AC263" s="112">
        <f t="shared" ref="AC263:AC306" si="413">IF(AB263-Y263-X263&lt;=0,0,AB263-Y263-X263)</f>
        <v>0</v>
      </c>
      <c r="AD263" s="113">
        <f t="shared" ref="AD263:AD306" si="414">AC263*2000</f>
        <v>0</v>
      </c>
      <c r="AE263" s="111">
        <f t="shared" si="409"/>
        <v>0</v>
      </c>
      <c r="AF263" s="113">
        <f t="shared" ref="AF263:AF306" si="415">IF(AE263="","",AE263*C263/G263)</f>
        <v>0</v>
      </c>
      <c r="AG263" s="113">
        <f t="shared" ref="AG263:AG306" si="416">AF263+AD263</f>
        <v>0</v>
      </c>
      <c r="AH263" s="114">
        <f t="shared" si="347"/>
        <v>9.4555555555555557</v>
      </c>
      <c r="AI263" s="102" t="str">
        <f t="shared" ref="AI263:AI306" si="417">IF(OR(J263&lt;D263,J263&gt;F263),"",
IF(AND(AH263&gt;0,AH263&lt;=6),"X:4",
IF(AND(AH263&gt;6),"X:8","")))</f>
        <v>X:8</v>
      </c>
      <c r="AJ263" s="102" t="str">
        <f t="shared" ref="AJ263:AJ306" si="418">A263&amp;J263</f>
        <v>NV11843795</v>
      </c>
      <c r="AK263" s="102" t="str">
        <f>IF(OR(J263&lt;D263,J263&gt;F263),"",
IFERROR(INDEX('3. Đơn xin nghỉ'!$K:$K,MATCH('4. Tổng hợp dữ liệu'!AJ263,'3. Đơn xin nghỉ'!$I:$I,0),1),
IF(AND(AU263="Không CC",I263&lt;&gt;1),"Ro:8","")))</f>
        <v/>
      </c>
      <c r="AL263" s="102" t="str">
        <f t="shared" ref="AL263:AL306" si="419">IF(OR(J263&lt;D263,J263&gt;F263),"",
IF(I263=1,"OFF",""))</f>
        <v/>
      </c>
      <c r="AM263" s="102" t="str">
        <f t="shared" si="410"/>
        <v>X:8</v>
      </c>
      <c r="AN263" s="102" t="s">
        <v>92</v>
      </c>
      <c r="AO263" s="102"/>
      <c r="AP263" s="115">
        <f>IFERROR(VLOOKUP(AN263,'Quy đổi công'!A:D,3,0),0)</f>
        <v>1</v>
      </c>
      <c r="AQ263" s="115">
        <f>IFERROR(VLOOKUP(AN263,'Quy đổi công'!A:D,4,0),0)</f>
        <v>0</v>
      </c>
      <c r="AR263" s="115">
        <f t="shared" ref="AR263:AR306" si="420">IF(J263&lt;E263,AP263,0)</f>
        <v>0</v>
      </c>
      <c r="AS263" s="115">
        <f t="shared" si="411"/>
        <v>1</v>
      </c>
      <c r="AT263" s="115">
        <f t="shared" si="412"/>
        <v>0</v>
      </c>
      <c r="AU263" s="102" t="str">
        <f t="shared" si="315"/>
        <v/>
      </c>
      <c r="AV263" s="102" t="str">
        <f t="shared" si="316"/>
        <v/>
      </c>
      <c r="AW263" s="102" t="str">
        <f t="shared" si="317"/>
        <v/>
      </c>
      <c r="AX263" s="102" t="str">
        <f t="shared" si="318"/>
        <v/>
      </c>
      <c r="AY263" s="102" t="str">
        <f t="shared" si="319"/>
        <v/>
      </c>
      <c r="AZ263" s="102"/>
      <c r="BA263" s="102">
        <f>IF(AV263&lt;&gt;0,COUNTIFS($A$7:A263,A263,$AV$7:AV263,"Quên check in"))
+IF(AW263&lt;&gt;0,COUNTIFS($A$7:A263,A263,$AW$7:AW263,"Quên check in"))
+IF(AX263&lt;&gt;0,COUNTIFS($A$7:A263,A263,$AX$7:AX263,"Quên check out"))
+IF(AY263&lt;&gt;0,COUNTIFS($A$7:A263,A263,$AY$7:AY263,"Quên check out"))</f>
        <v>1</v>
      </c>
      <c r="BB263" s="143">
        <f t="shared" si="320"/>
        <v>0</v>
      </c>
    </row>
    <row r="264" spans="1:54" s="83" customFormat="1" ht="14.1" customHeight="1" x14ac:dyDescent="0.3">
      <c r="A264" s="103" t="s">
        <v>11</v>
      </c>
      <c r="B264" s="104" t="s">
        <v>20</v>
      </c>
      <c r="C264" s="105">
        <v>4700000</v>
      </c>
      <c r="D264" s="106">
        <v>43467</v>
      </c>
      <c r="E264" s="107">
        <v>43617</v>
      </c>
      <c r="F264" s="107">
        <v>73415</v>
      </c>
      <c r="G264" s="105">
        <v>26</v>
      </c>
      <c r="H264" s="105">
        <f t="shared" si="400"/>
        <v>3</v>
      </c>
      <c r="I264" s="105"/>
      <c r="J264" s="108">
        <v>43795</v>
      </c>
      <c r="K264" s="108" t="str">
        <f t="shared" si="401"/>
        <v>NV12243795VàoSáng</v>
      </c>
      <c r="L264" s="102" t="str">
        <f>IFERROR(VLOOKUP(K264,'1. Vân tay'!$F:$G,2,0),0)</f>
        <v>07:55:30</v>
      </c>
      <c r="M264" s="108" t="str">
        <f t="shared" si="402"/>
        <v>NV12243795RaSáng</v>
      </c>
      <c r="N264" s="102">
        <f>IFERROR(VLOOKUP(M264,'1. Vân tay'!$F:$G,2,0),0)</f>
        <v>0</v>
      </c>
      <c r="O264" s="108" t="str">
        <f t="shared" si="403"/>
        <v>NV12243795VàoChiều</v>
      </c>
      <c r="P264" s="102">
        <f>IFERROR(VLOOKUP(O264,'1. Vân tay'!$F:$G,2,0),0)</f>
        <v>0</v>
      </c>
      <c r="Q264" s="108" t="str">
        <f t="shared" si="404"/>
        <v>NV12243795RaChiều</v>
      </c>
      <c r="R264" s="102" t="str">
        <f>IFERROR(VLOOKUP(Q264,'1. Vân tay'!$F:$G,2,0),0)</f>
        <v>17:31:00</v>
      </c>
      <c r="S264" s="102">
        <f t="shared" si="405"/>
        <v>0</v>
      </c>
      <c r="T264" s="109">
        <v>0.33333333333333331</v>
      </c>
      <c r="U264" s="109">
        <v>0.5</v>
      </c>
      <c r="V264" s="109">
        <v>0.5625</v>
      </c>
      <c r="W264" s="109">
        <v>0.72916666666666663</v>
      </c>
      <c r="X264" s="102">
        <f>HDSD!$F$4</f>
        <v>5</v>
      </c>
      <c r="Y264" s="102">
        <f>SUMIFS('2. Đi muộn về sớm'!$K:$K,
'2. Đi muộn về sớm'!$B:$B,$A264,
'2. Đi muộn về sớm'!$D:$D,$J264)</f>
        <v>0</v>
      </c>
      <c r="Z264" s="110">
        <f t="shared" si="406"/>
        <v>0</v>
      </c>
      <c r="AA264" s="110">
        <f t="shared" si="407"/>
        <v>0</v>
      </c>
      <c r="AB264" s="111">
        <f t="shared" si="408"/>
        <v>0</v>
      </c>
      <c r="AC264" s="112">
        <f t="shared" si="413"/>
        <v>0</v>
      </c>
      <c r="AD264" s="113">
        <f t="shared" si="414"/>
        <v>0</v>
      </c>
      <c r="AE264" s="111">
        <f t="shared" si="409"/>
        <v>0</v>
      </c>
      <c r="AF264" s="113">
        <f t="shared" si="415"/>
        <v>0</v>
      </c>
      <c r="AG264" s="113">
        <f t="shared" si="416"/>
        <v>0</v>
      </c>
      <c r="AH264" s="114">
        <f t="shared" si="347"/>
        <v>9.5916666666666668</v>
      </c>
      <c r="AI264" s="102" t="str">
        <f t="shared" si="417"/>
        <v>X:8</v>
      </c>
      <c r="AJ264" s="102" t="str">
        <f t="shared" si="418"/>
        <v>NV12243795</v>
      </c>
      <c r="AK264" s="102" t="str">
        <f>IF(OR(J264&lt;D264,J264&gt;F264),"",
IFERROR(INDEX('3. Đơn xin nghỉ'!$K:$K,MATCH('4. Tổng hợp dữ liệu'!AJ264,'3. Đơn xin nghỉ'!$I:$I,0),1),
IF(AND(AU264="Không CC",I264&lt;&gt;1),"Ro:8","")))</f>
        <v/>
      </c>
      <c r="AL264" s="102" t="str">
        <f t="shared" si="419"/>
        <v/>
      </c>
      <c r="AM264" s="102" t="str">
        <f t="shared" si="410"/>
        <v>X:8</v>
      </c>
      <c r="AN264" s="102" t="s">
        <v>92</v>
      </c>
      <c r="AO264" s="102"/>
      <c r="AP264" s="115">
        <f>IFERROR(VLOOKUP(AN264,'Quy đổi công'!A:D,3,0),0)</f>
        <v>1</v>
      </c>
      <c r="AQ264" s="115">
        <f>IFERROR(VLOOKUP(AN264,'Quy đổi công'!A:D,4,0),0)</f>
        <v>0</v>
      </c>
      <c r="AR264" s="115">
        <f t="shared" si="420"/>
        <v>0</v>
      </c>
      <c r="AS264" s="115">
        <f t="shared" si="411"/>
        <v>1</v>
      </c>
      <c r="AT264" s="115">
        <f t="shared" si="412"/>
        <v>0</v>
      </c>
      <c r="AU264" s="102" t="str">
        <f t="shared" ref="AU264:AU306" si="421">IF(AND(L264=0,N264=0,P264=0,R264=0),"Không CC","")</f>
        <v/>
      </c>
      <c r="AV264" s="102" t="str">
        <f t="shared" ref="AV264:AV306" si="422">IF(AND(L264=0,N264&lt;&gt;0,P264=0,R264=0),"Quên check in","")</f>
        <v/>
      </c>
      <c r="AW264" s="102" t="str">
        <f t="shared" ref="AW264:AW306" si="423">IF(AND(L264=0,N264=0,P264=0,R264&lt;&gt;0),"Quên check in","")</f>
        <v/>
      </c>
      <c r="AX264" s="102" t="str">
        <f t="shared" ref="AX264:AX306" si="424">IF(AND(L264&lt;&gt;0,N264=0,P264=0,R264=0),"Quên check out","")</f>
        <v/>
      </c>
      <c r="AY264" s="102" t="str">
        <f t="shared" ref="AY264:AY306" si="425">IF(AND(L264=0,N264=0,P264&lt;&gt;0,R264=0),"Quên check out","")</f>
        <v/>
      </c>
      <c r="AZ264" s="102"/>
      <c r="BA264" s="102">
        <f>IF(AV264&lt;&gt;0,COUNTIFS($A$7:A264,A264,$AV$7:AV264,"Quên check in"))
+IF(AW264&lt;&gt;0,COUNTIFS($A$7:A264,A264,$AW$7:AW264,"Quên check in"))
+IF(AX264&lt;&gt;0,COUNTIFS($A$7:A264,A264,$AX$7:AX264,"Quên check out"))
+IF(AY264&lt;&gt;0,COUNTIFS($A$7:A264,A264,$AY$7:AY264,"Quên check out"))</f>
        <v>1</v>
      </c>
      <c r="BB264" s="143">
        <f t="shared" ref="BB264:BB306" si="426">IF(BA264&gt;=3,50000,0)</f>
        <v>0</v>
      </c>
    </row>
    <row r="265" spans="1:54" s="83" customFormat="1" ht="14.1" customHeight="1" x14ac:dyDescent="0.3">
      <c r="A265" s="103" t="s">
        <v>12</v>
      </c>
      <c r="B265" s="104" t="s">
        <v>21</v>
      </c>
      <c r="C265" s="105">
        <v>5000000</v>
      </c>
      <c r="D265" s="106">
        <v>43482</v>
      </c>
      <c r="E265" s="107">
        <v>43647</v>
      </c>
      <c r="F265" s="107">
        <v>73415</v>
      </c>
      <c r="G265" s="105">
        <v>26</v>
      </c>
      <c r="H265" s="105">
        <f t="shared" si="400"/>
        <v>3</v>
      </c>
      <c r="I265" s="105"/>
      <c r="J265" s="108">
        <v>43795</v>
      </c>
      <c r="K265" s="108" t="str">
        <f t="shared" si="401"/>
        <v>NV12343795VàoSáng</v>
      </c>
      <c r="L265" s="102" t="str">
        <f>IFERROR(VLOOKUP(K265,'1. Vân tay'!$F:$G,2,0),0)</f>
        <v>07:55:57</v>
      </c>
      <c r="M265" s="108" t="str">
        <f t="shared" si="402"/>
        <v>NV12343795RaSáng</v>
      </c>
      <c r="N265" s="102">
        <f>IFERROR(VLOOKUP(M265,'1. Vân tay'!$F:$G,2,0),0)</f>
        <v>0</v>
      </c>
      <c r="O265" s="108" t="str">
        <f t="shared" si="403"/>
        <v>NV12343795VàoChiều</v>
      </c>
      <c r="P265" s="102">
        <f>IFERROR(VLOOKUP(O265,'1. Vân tay'!$F:$G,2,0),0)</f>
        <v>0</v>
      </c>
      <c r="Q265" s="108" t="str">
        <f t="shared" si="404"/>
        <v>NV12343795RaChiều</v>
      </c>
      <c r="R265" s="102" t="str">
        <f>IFERROR(VLOOKUP(Q265,'1. Vân tay'!$F:$G,2,0),0)</f>
        <v>17:39:08</v>
      </c>
      <c r="S265" s="102">
        <f t="shared" si="405"/>
        <v>0</v>
      </c>
      <c r="T265" s="109">
        <v>0.33333333333333331</v>
      </c>
      <c r="U265" s="109">
        <v>0.5</v>
      </c>
      <c r="V265" s="109">
        <v>0.5625</v>
      </c>
      <c r="W265" s="109">
        <v>0.72916666666666663</v>
      </c>
      <c r="X265" s="102">
        <f>HDSD!$F$4</f>
        <v>5</v>
      </c>
      <c r="Y265" s="102">
        <f>SUMIFS('2. Đi muộn về sớm'!$K:$K,
'2. Đi muộn về sớm'!$B:$B,$A265,
'2. Đi muộn về sớm'!$D:$D,$J265)</f>
        <v>0</v>
      </c>
      <c r="Z265" s="110">
        <f t="shared" si="406"/>
        <v>0</v>
      </c>
      <c r="AA265" s="110">
        <f t="shared" si="407"/>
        <v>0</v>
      </c>
      <c r="AB265" s="111">
        <f t="shared" si="408"/>
        <v>0</v>
      </c>
      <c r="AC265" s="112">
        <f t="shared" si="413"/>
        <v>0</v>
      </c>
      <c r="AD265" s="113">
        <f t="shared" si="414"/>
        <v>0</v>
      </c>
      <c r="AE265" s="111">
        <f t="shared" si="409"/>
        <v>0</v>
      </c>
      <c r="AF265" s="113">
        <f t="shared" si="415"/>
        <v>0</v>
      </c>
      <c r="AG265" s="113">
        <f t="shared" si="416"/>
        <v>0</v>
      </c>
      <c r="AH265" s="114">
        <f t="shared" si="347"/>
        <v>9.7197222222222219</v>
      </c>
      <c r="AI265" s="102" t="str">
        <f t="shared" si="417"/>
        <v>X:8</v>
      </c>
      <c r="AJ265" s="102" t="str">
        <f t="shared" si="418"/>
        <v>NV12343795</v>
      </c>
      <c r="AK265" s="102" t="str">
        <f>IF(OR(J265&lt;D265,J265&gt;F265),"",
IFERROR(INDEX('3. Đơn xin nghỉ'!$K:$K,MATCH('4. Tổng hợp dữ liệu'!AJ265,'3. Đơn xin nghỉ'!$I:$I,0),1),
IF(AND(AU265="Không CC",I265&lt;&gt;1),"Ro:8","")))</f>
        <v/>
      </c>
      <c r="AL265" s="102" t="str">
        <f t="shared" si="419"/>
        <v/>
      </c>
      <c r="AM265" s="102" t="str">
        <f t="shared" si="410"/>
        <v>X:8</v>
      </c>
      <c r="AN265" s="102" t="s">
        <v>92</v>
      </c>
      <c r="AO265" s="102"/>
      <c r="AP265" s="115">
        <f>IFERROR(VLOOKUP(AN265,'Quy đổi công'!A:D,3,0),0)</f>
        <v>1</v>
      </c>
      <c r="AQ265" s="115">
        <f>IFERROR(VLOOKUP(AN265,'Quy đổi công'!A:D,4,0),0)</f>
        <v>0</v>
      </c>
      <c r="AR265" s="115">
        <f t="shared" si="420"/>
        <v>0</v>
      </c>
      <c r="AS265" s="115">
        <f t="shared" si="411"/>
        <v>1</v>
      </c>
      <c r="AT265" s="115">
        <f t="shared" si="412"/>
        <v>0</v>
      </c>
      <c r="AU265" s="102" t="str">
        <f t="shared" si="421"/>
        <v/>
      </c>
      <c r="AV265" s="102" t="str">
        <f t="shared" si="422"/>
        <v/>
      </c>
      <c r="AW265" s="102" t="str">
        <f t="shared" si="423"/>
        <v/>
      </c>
      <c r="AX265" s="102" t="str">
        <f t="shared" si="424"/>
        <v/>
      </c>
      <c r="AY265" s="102" t="str">
        <f t="shared" si="425"/>
        <v/>
      </c>
      <c r="AZ265" s="102"/>
      <c r="BA265" s="102">
        <f>IF(AV265&lt;&gt;0,COUNTIFS($A$7:A265,A265,$AV$7:AV265,"Quên check in"))
+IF(AW265&lt;&gt;0,COUNTIFS($A$7:A265,A265,$AW$7:AW265,"Quên check in"))
+IF(AX265&lt;&gt;0,COUNTIFS($A$7:A265,A265,$AX$7:AX265,"Quên check out"))
+IF(AY265&lt;&gt;0,COUNTIFS($A$7:A265,A265,$AY$7:AY265,"Quên check out"))</f>
        <v>1</v>
      </c>
      <c r="BB265" s="143">
        <f t="shared" si="426"/>
        <v>0</v>
      </c>
    </row>
    <row r="266" spans="1:54" s="83" customFormat="1" ht="14.1" customHeight="1" x14ac:dyDescent="0.3">
      <c r="A266" s="103" t="s">
        <v>13</v>
      </c>
      <c r="B266" s="104" t="s">
        <v>22</v>
      </c>
      <c r="C266" s="105">
        <v>4700000</v>
      </c>
      <c r="D266" s="106">
        <v>43531</v>
      </c>
      <c r="E266" s="107">
        <v>43647</v>
      </c>
      <c r="F266" s="107">
        <v>73415</v>
      </c>
      <c r="G266" s="105">
        <v>26</v>
      </c>
      <c r="H266" s="105">
        <f t="shared" si="400"/>
        <v>3</v>
      </c>
      <c r="I266" s="105"/>
      <c r="J266" s="108">
        <v>43795</v>
      </c>
      <c r="K266" s="108" t="str">
        <f t="shared" si="401"/>
        <v>NV12643795VàoSáng</v>
      </c>
      <c r="L266" s="102" t="str">
        <f>IFERROR(VLOOKUP(K266,'1. Vân tay'!$F:$G,2,0),0)</f>
        <v>07:58:50</v>
      </c>
      <c r="M266" s="108" t="str">
        <f t="shared" si="402"/>
        <v>NV12643795RaSáng</v>
      </c>
      <c r="N266" s="102">
        <f>IFERROR(VLOOKUP(M266,'1. Vân tay'!$F:$G,2,0),0)</f>
        <v>0</v>
      </c>
      <c r="O266" s="108" t="str">
        <f t="shared" si="403"/>
        <v>NV12643795VàoChiều</v>
      </c>
      <c r="P266" s="102">
        <f>IFERROR(VLOOKUP(O266,'1. Vân tay'!$F:$G,2,0),0)</f>
        <v>0</v>
      </c>
      <c r="Q266" s="108" t="str">
        <f t="shared" si="404"/>
        <v>NV12643795RaChiều</v>
      </c>
      <c r="R266" s="102" t="str">
        <f>IFERROR(VLOOKUP(Q266,'1. Vân tay'!$F:$G,2,0),0)</f>
        <v>17:33:57</v>
      </c>
      <c r="S266" s="102">
        <f t="shared" si="405"/>
        <v>0</v>
      </c>
      <c r="T266" s="109">
        <v>0.33333333333333331</v>
      </c>
      <c r="U266" s="109">
        <v>0.5</v>
      </c>
      <c r="V266" s="109">
        <v>0.5625</v>
      </c>
      <c r="W266" s="109">
        <v>0.72916666666666663</v>
      </c>
      <c r="X266" s="102">
        <f>HDSD!$F$4</f>
        <v>5</v>
      </c>
      <c r="Y266" s="102">
        <f>SUMIFS('2. Đi muộn về sớm'!$K:$K,
'2. Đi muộn về sớm'!$B:$B,$A266,
'2. Đi muộn về sớm'!$D:$D,$J266)</f>
        <v>0</v>
      </c>
      <c r="Z266" s="110">
        <f t="shared" si="406"/>
        <v>0</v>
      </c>
      <c r="AA266" s="110">
        <f t="shared" si="407"/>
        <v>0</v>
      </c>
      <c r="AB266" s="111">
        <f t="shared" si="408"/>
        <v>0</v>
      </c>
      <c r="AC266" s="112">
        <f t="shared" si="413"/>
        <v>0</v>
      </c>
      <c r="AD266" s="113">
        <f t="shared" si="414"/>
        <v>0</v>
      </c>
      <c r="AE266" s="111">
        <f t="shared" si="409"/>
        <v>0</v>
      </c>
      <c r="AF266" s="113">
        <f t="shared" si="415"/>
        <v>0</v>
      </c>
      <c r="AG266" s="113">
        <f t="shared" si="416"/>
        <v>0</v>
      </c>
      <c r="AH266" s="114">
        <f t="shared" si="347"/>
        <v>9.5852777777777778</v>
      </c>
      <c r="AI266" s="102" t="str">
        <f t="shared" si="417"/>
        <v>X:8</v>
      </c>
      <c r="AJ266" s="102" t="str">
        <f t="shared" si="418"/>
        <v>NV12643795</v>
      </c>
      <c r="AK266" s="102" t="str">
        <f>IF(OR(J266&lt;D266,J266&gt;F266),"",
IFERROR(INDEX('3. Đơn xin nghỉ'!$K:$K,MATCH('4. Tổng hợp dữ liệu'!AJ266,'3. Đơn xin nghỉ'!$I:$I,0),1),
IF(AND(AU266="Không CC",I266&lt;&gt;1),"Ro:8","")))</f>
        <v/>
      </c>
      <c r="AL266" s="102" t="str">
        <f t="shared" si="419"/>
        <v/>
      </c>
      <c r="AM266" s="102" t="str">
        <f t="shared" si="410"/>
        <v>X:8</v>
      </c>
      <c r="AN266" s="102" t="s">
        <v>92</v>
      </c>
      <c r="AO266" s="102"/>
      <c r="AP266" s="115">
        <f>IFERROR(VLOOKUP(AN266,'Quy đổi công'!A:D,3,0),0)</f>
        <v>1</v>
      </c>
      <c r="AQ266" s="115">
        <f>IFERROR(VLOOKUP(AN266,'Quy đổi công'!A:D,4,0),0)</f>
        <v>0</v>
      </c>
      <c r="AR266" s="115">
        <f t="shared" si="420"/>
        <v>0</v>
      </c>
      <c r="AS266" s="115">
        <f t="shared" si="411"/>
        <v>1</v>
      </c>
      <c r="AT266" s="115">
        <f t="shared" si="412"/>
        <v>0</v>
      </c>
      <c r="AU266" s="102" t="str">
        <f t="shared" si="421"/>
        <v/>
      </c>
      <c r="AV266" s="102" t="str">
        <f t="shared" si="422"/>
        <v/>
      </c>
      <c r="AW266" s="102" t="str">
        <f t="shared" si="423"/>
        <v/>
      </c>
      <c r="AX266" s="102" t="str">
        <f t="shared" si="424"/>
        <v/>
      </c>
      <c r="AY266" s="102" t="str">
        <f t="shared" si="425"/>
        <v/>
      </c>
      <c r="AZ266" s="102"/>
      <c r="BA266" s="102">
        <f>IF(AV266&lt;&gt;0,COUNTIFS($A$7:A266,A266,$AV$7:AV266,"Quên check in"))
+IF(AW266&lt;&gt;0,COUNTIFS($A$7:A266,A266,$AW$7:AW266,"Quên check in"))
+IF(AX266&lt;&gt;0,COUNTIFS($A$7:A266,A266,$AX$7:AX266,"Quên check out"))
+IF(AY266&lt;&gt;0,COUNTIFS($A$7:A266,A266,$AY$7:AY266,"Quên check out"))</f>
        <v>0</v>
      </c>
      <c r="BB266" s="143">
        <f t="shared" si="426"/>
        <v>0</v>
      </c>
    </row>
    <row r="267" spans="1:54" s="83" customFormat="1" ht="14.1" customHeight="1" x14ac:dyDescent="0.3">
      <c r="A267" s="103" t="s">
        <v>4</v>
      </c>
      <c r="B267" s="104" t="s">
        <v>14</v>
      </c>
      <c r="C267" s="105">
        <v>4700000</v>
      </c>
      <c r="D267" s="106">
        <v>43388</v>
      </c>
      <c r="E267" s="107">
        <v>43525</v>
      </c>
      <c r="F267" s="107">
        <v>73415</v>
      </c>
      <c r="G267" s="105">
        <v>26</v>
      </c>
      <c r="H267" s="105">
        <f t="shared" ref="H267:H276" si="427">WEEKDAY(J267,1)</f>
        <v>4</v>
      </c>
      <c r="I267" s="105"/>
      <c r="J267" s="108">
        <v>43796</v>
      </c>
      <c r="K267" s="108" t="str">
        <f t="shared" ref="K267:K276" si="428">$A267&amp;$J267&amp;"Vào"&amp;"Sáng"</f>
        <v>NV10143796VàoSáng</v>
      </c>
      <c r="L267" s="102" t="str">
        <f>IFERROR(VLOOKUP(K267,'1. Vân tay'!$F:$G,2,0),0)</f>
        <v>07:58:55</v>
      </c>
      <c r="M267" s="108" t="str">
        <f t="shared" ref="M267:M276" si="429">$A267&amp;$J267&amp;"Ra"&amp;"Sáng"</f>
        <v>NV10143796RaSáng</v>
      </c>
      <c r="N267" s="102">
        <f>IFERROR(VLOOKUP(M267,'1. Vân tay'!$F:$G,2,0),0)</f>
        <v>0</v>
      </c>
      <c r="O267" s="108" t="str">
        <f t="shared" ref="O267:O276" si="430">$A267&amp;$J267&amp;"Vào"&amp;"Chiều"</f>
        <v>NV10143796VàoChiều</v>
      </c>
      <c r="P267" s="102">
        <f>IFERROR(VLOOKUP(O267,'1. Vân tay'!$F:$G,2,0),0)</f>
        <v>0</v>
      </c>
      <c r="Q267" s="108" t="str">
        <f t="shared" ref="Q267:Q276" si="431">$A267&amp;$J267&amp;"Ra"&amp;"Chiều"</f>
        <v>NV10143796RaChiều</v>
      </c>
      <c r="R267" s="102" t="str">
        <f>IFERROR(VLOOKUP(Q267,'1. Vân tay'!$F:$G,2,0),0)</f>
        <v>16:29:23</v>
      </c>
      <c r="S267" s="102">
        <f t="shared" ref="S267:S276" si="432">IF(OR(
(AND(L267&lt;&gt;0,P267&lt;&gt;0)),
(AND(N267&lt;&gt;0,R267&lt;&gt;0))),"Kiểm tra",0)</f>
        <v>0</v>
      </c>
      <c r="T267" s="109">
        <v>0.33333333333333331</v>
      </c>
      <c r="U267" s="109">
        <v>0.5</v>
      </c>
      <c r="V267" s="109">
        <v>0.5625</v>
      </c>
      <c r="W267" s="109">
        <v>0.72916666666666663</v>
      </c>
      <c r="X267" s="102">
        <f>HDSD!$F$4</f>
        <v>5</v>
      </c>
      <c r="Y267" s="102">
        <f>SUMIFS('2. Đi muộn về sớm'!$K:$K,
'2. Đi muộn về sớm'!$B:$B,$A267,
'2. Đi muộn về sớm'!$D:$D,$J267)</f>
        <v>60</v>
      </c>
      <c r="Z267" s="110">
        <f t="shared" ref="Z267:Z276" si="433">IF(L267=0,0,IFERROR((HOUR(L267-T267)*60+MINUTE(L267-T267)+SECOND(L267-T267)/60),0))
+IF(N267=0,0, IFERROR((HOUR(U267-N267)*60+MINUTE(U267-N267)+SECOND(U267-N267)/60),0))
+IF(P267=0,0, IFERROR((HOUR(P267-V267)*60+MINUTE(P267-V267)+SECOND(P267-V267)/60),0))
+IF(R267=0,0, IFERROR((HOUR(W267-R267)*60+MINUTE(W267-R267)+SECOND(W267-R267)/60),0))</f>
        <v>60.616666666666667</v>
      </c>
      <c r="AA267" s="110">
        <f t="shared" ref="AA267:AA276" si="434">IF(L267=0,0,IFERROR((HOUR(L267-"09:00:00")*60+MINUTE(L267-"09:00:00")+SECOND(L267-"09:00:00")/60),0))
+IF(N267=0,0, IFERROR((HOUR(U267-N267)*60+MINUTE(U267-N267)+SECOND(U267-N267)/60),0))
+IF(P267=0,0, IFERROR((HOUR(P267-V267)*60+MINUTE(P267-V267)+SECOND(P267-V267)/60),0))
+IF(R267=0,0, IFERROR((HOUR("16:30:00"-R267)*60+MINUTE("16:30:00"-R267)+SECOND("16:30:00"-R267)/60),0))</f>
        <v>0.6166666666666667</v>
      </c>
      <c r="AB267" s="111">
        <f t="shared" ref="AB267:AB276" si="435">Z267-AA267</f>
        <v>60</v>
      </c>
      <c r="AC267" s="112">
        <f t="shared" si="413"/>
        <v>0</v>
      </c>
      <c r="AD267" s="113">
        <f t="shared" si="414"/>
        <v>0</v>
      </c>
      <c r="AE267" s="111">
        <f t="shared" ref="AE267:AE276" si="436">AA267/60/8</f>
        <v>1.2847222222222223E-3</v>
      </c>
      <c r="AF267" s="113">
        <f t="shared" si="415"/>
        <v>232.23824786324786</v>
      </c>
      <c r="AG267" s="113">
        <f t="shared" si="416"/>
        <v>232.23824786324786</v>
      </c>
      <c r="AH267" s="114">
        <f t="shared" si="347"/>
        <v>8.5077777777777772</v>
      </c>
      <c r="AI267" s="102" t="str">
        <f t="shared" si="417"/>
        <v>X:8</v>
      </c>
      <c r="AJ267" s="102" t="str">
        <f t="shared" si="418"/>
        <v>NV10143796</v>
      </c>
      <c r="AK267" s="102" t="str">
        <f>IF(OR(J267&lt;D267,J267&gt;F267),"",
IFERROR(INDEX('3. Đơn xin nghỉ'!$K:$K,MATCH('4. Tổng hợp dữ liệu'!AJ267,'3. Đơn xin nghỉ'!$I:$I,0),1),
IF(AND(AU267="Không CC",I267&lt;&gt;1),"Ro:8","")))</f>
        <v/>
      </c>
      <c r="AL267" s="102" t="str">
        <f t="shared" si="419"/>
        <v/>
      </c>
      <c r="AM267" s="102" t="str">
        <f t="shared" ref="AM267:AM276" si="437">IF(OR(AI267="",AK267=""),AI267&amp;AK267,AI267&amp;","&amp;AK267)&amp;AL267</f>
        <v>X:8</v>
      </c>
      <c r="AN267" s="102" t="s">
        <v>92</v>
      </c>
      <c r="AO267" s="102"/>
      <c r="AP267" s="115">
        <f>IFERROR(VLOOKUP(AN267,'Quy đổi công'!A:D,3,0),0)</f>
        <v>1</v>
      </c>
      <c r="AQ267" s="115">
        <f>IFERROR(VLOOKUP(AN267,'Quy đổi công'!A:D,4,0),0)</f>
        <v>0</v>
      </c>
      <c r="AR267" s="115">
        <f t="shared" si="420"/>
        <v>0</v>
      </c>
      <c r="AS267" s="115">
        <f t="shared" ref="AS267:AS276" si="438">AP267-AR267</f>
        <v>1</v>
      </c>
      <c r="AT267" s="115">
        <f t="shared" ref="AT267:AT276" si="439">IF(AN267="P8",1)
+IF(OR(AN267="X:4,P:4",AN267="P:4,Rv:4",AN267="P:4,Ro:4"),1/2)</f>
        <v>0</v>
      </c>
      <c r="AU267" s="102" t="str">
        <f t="shared" si="421"/>
        <v/>
      </c>
      <c r="AV267" s="102" t="str">
        <f t="shared" si="422"/>
        <v/>
      </c>
      <c r="AW267" s="102" t="str">
        <f t="shared" si="423"/>
        <v/>
      </c>
      <c r="AX267" s="102" t="str">
        <f t="shared" si="424"/>
        <v/>
      </c>
      <c r="AY267" s="102" t="str">
        <f t="shared" si="425"/>
        <v/>
      </c>
      <c r="AZ267" s="102"/>
      <c r="BA267" s="102">
        <f>IF(AV267&lt;&gt;0,COUNTIFS($A$7:A267,A267,$AV$7:AV267,"Quên check in"))
+IF(AW267&lt;&gt;0,COUNTIFS($A$7:A267,A267,$AW$7:AW267,"Quên check in"))
+IF(AX267&lt;&gt;0,COUNTIFS($A$7:A267,A267,$AX$7:AX267,"Quên check out"))
+IF(AY267&lt;&gt;0,COUNTIFS($A$7:A267,A267,$AY$7:AY267,"Quên check out"))</f>
        <v>0</v>
      </c>
      <c r="BB267" s="143">
        <f t="shared" si="426"/>
        <v>0</v>
      </c>
    </row>
    <row r="268" spans="1:54" s="83" customFormat="1" ht="14.1" customHeight="1" x14ac:dyDescent="0.3">
      <c r="A268" s="103" t="s">
        <v>5</v>
      </c>
      <c r="B268" s="104" t="s">
        <v>28</v>
      </c>
      <c r="C268" s="105">
        <v>10000000</v>
      </c>
      <c r="D268" s="106">
        <v>43409</v>
      </c>
      <c r="E268" s="107">
        <v>43678</v>
      </c>
      <c r="F268" s="107">
        <v>73415</v>
      </c>
      <c r="G268" s="105">
        <v>26</v>
      </c>
      <c r="H268" s="105">
        <f t="shared" si="427"/>
        <v>4</v>
      </c>
      <c r="I268" s="105"/>
      <c r="J268" s="108">
        <v>43796</v>
      </c>
      <c r="K268" s="108" t="str">
        <f t="shared" si="428"/>
        <v>NV10743796VàoSáng</v>
      </c>
      <c r="L268" s="102" t="str">
        <f>IFERROR(VLOOKUP(K268,'1. Vân tay'!$F:$G,2,0),0)</f>
        <v>08:00:49</v>
      </c>
      <c r="M268" s="108" t="str">
        <f t="shared" si="429"/>
        <v>NV10743796RaSáng</v>
      </c>
      <c r="N268" s="102">
        <f>IFERROR(VLOOKUP(M268,'1. Vân tay'!$F:$G,2,0),0)</f>
        <v>0</v>
      </c>
      <c r="O268" s="108" t="str">
        <f t="shared" si="430"/>
        <v>NV10743796VàoChiều</v>
      </c>
      <c r="P268" s="102">
        <f>IFERROR(VLOOKUP(O268,'1. Vân tay'!$F:$G,2,0),0)</f>
        <v>0</v>
      </c>
      <c r="Q268" s="108" t="str">
        <f t="shared" si="431"/>
        <v>NV10743796RaChiều</v>
      </c>
      <c r="R268" s="102" t="str">
        <f>IFERROR(VLOOKUP(Q268,'1. Vân tay'!$F:$G,2,0),0)</f>
        <v>17:37:10</v>
      </c>
      <c r="S268" s="102">
        <f t="shared" si="432"/>
        <v>0</v>
      </c>
      <c r="T268" s="109">
        <v>0.33333333333333331</v>
      </c>
      <c r="U268" s="109">
        <v>0.5</v>
      </c>
      <c r="V268" s="109">
        <v>0.5625</v>
      </c>
      <c r="W268" s="109">
        <v>0.72916666666666663</v>
      </c>
      <c r="X268" s="102">
        <f>HDSD!$F$4</f>
        <v>5</v>
      </c>
      <c r="Y268" s="102">
        <f>SUMIFS('2. Đi muộn về sớm'!$K:$K,
'2. Đi muộn về sớm'!$B:$B,$A268,
'2. Đi muộn về sớm'!$D:$D,$J268)</f>
        <v>0</v>
      </c>
      <c r="Z268" s="110">
        <f t="shared" si="433"/>
        <v>0.81666666666666665</v>
      </c>
      <c r="AA268" s="110">
        <f t="shared" si="434"/>
        <v>0</v>
      </c>
      <c r="AB268" s="111">
        <f t="shared" si="435"/>
        <v>0.81666666666666665</v>
      </c>
      <c r="AC268" s="112">
        <f t="shared" si="413"/>
        <v>0</v>
      </c>
      <c r="AD268" s="113">
        <f t="shared" si="414"/>
        <v>0</v>
      </c>
      <c r="AE268" s="111">
        <f t="shared" si="436"/>
        <v>0</v>
      </c>
      <c r="AF268" s="113">
        <f t="shared" si="415"/>
        <v>0</v>
      </c>
      <c r="AG268" s="113">
        <f t="shared" si="416"/>
        <v>0</v>
      </c>
      <c r="AH268" s="114">
        <f t="shared" si="347"/>
        <v>9.605833333333333</v>
      </c>
      <c r="AI268" s="102" t="str">
        <f t="shared" si="417"/>
        <v>X:8</v>
      </c>
      <c r="AJ268" s="102" t="str">
        <f t="shared" si="418"/>
        <v>NV10743796</v>
      </c>
      <c r="AK268" s="102" t="str">
        <f>IF(OR(J268&lt;D268,J268&gt;F268),"",
IFERROR(INDEX('3. Đơn xin nghỉ'!$K:$K,MATCH('4. Tổng hợp dữ liệu'!AJ268,'3. Đơn xin nghỉ'!$I:$I,0),1),
IF(AND(AU268="Không CC",I268&lt;&gt;1),"Ro:8","")))</f>
        <v/>
      </c>
      <c r="AL268" s="102" t="str">
        <f t="shared" si="419"/>
        <v/>
      </c>
      <c r="AM268" s="102" t="str">
        <f t="shared" si="437"/>
        <v>X:8</v>
      </c>
      <c r="AN268" s="102" t="s">
        <v>92</v>
      </c>
      <c r="AO268" s="102"/>
      <c r="AP268" s="115">
        <f>IFERROR(VLOOKUP(AN268,'Quy đổi công'!A:D,3,0),0)</f>
        <v>1</v>
      </c>
      <c r="AQ268" s="115">
        <f>IFERROR(VLOOKUP(AN268,'Quy đổi công'!A:D,4,0),0)</f>
        <v>0</v>
      </c>
      <c r="AR268" s="115">
        <f t="shared" si="420"/>
        <v>0</v>
      </c>
      <c r="AS268" s="115">
        <f t="shared" si="438"/>
        <v>1</v>
      </c>
      <c r="AT268" s="115">
        <f t="shared" si="439"/>
        <v>0</v>
      </c>
      <c r="AU268" s="102" t="str">
        <f t="shared" si="421"/>
        <v/>
      </c>
      <c r="AV268" s="102" t="str">
        <f t="shared" si="422"/>
        <v/>
      </c>
      <c r="AW268" s="102" t="str">
        <f t="shared" si="423"/>
        <v/>
      </c>
      <c r="AX268" s="102" t="str">
        <f t="shared" si="424"/>
        <v/>
      </c>
      <c r="AY268" s="102" t="str">
        <f t="shared" si="425"/>
        <v/>
      </c>
      <c r="AZ268" s="102"/>
      <c r="BA268" s="102">
        <f>IF(AV268&lt;&gt;0,COUNTIFS($A$7:A268,A268,$AV$7:AV268,"Quên check in"))
+IF(AW268&lt;&gt;0,COUNTIFS($A$7:A268,A268,$AW$7:AW268,"Quên check in"))
+IF(AX268&lt;&gt;0,COUNTIFS($A$7:A268,A268,$AX$7:AX268,"Quên check out"))
+IF(AY268&lt;&gt;0,COUNTIFS($A$7:A268,A268,$AY$7:AY268,"Quên check out"))</f>
        <v>4</v>
      </c>
      <c r="BB268" s="143">
        <f t="shared" si="426"/>
        <v>50000</v>
      </c>
    </row>
    <row r="269" spans="1:54" s="83" customFormat="1" ht="14.1" customHeight="1" x14ac:dyDescent="0.3">
      <c r="A269" s="103" t="s">
        <v>6</v>
      </c>
      <c r="B269" s="104" t="s">
        <v>15</v>
      </c>
      <c r="C269" s="105">
        <v>4700000</v>
      </c>
      <c r="D269" s="106">
        <v>43409</v>
      </c>
      <c r="E269" s="107">
        <v>43617</v>
      </c>
      <c r="F269" s="107">
        <v>73415</v>
      </c>
      <c r="G269" s="105">
        <v>26</v>
      </c>
      <c r="H269" s="105">
        <f t="shared" si="427"/>
        <v>4</v>
      </c>
      <c r="I269" s="105"/>
      <c r="J269" s="108">
        <v>43796</v>
      </c>
      <c r="K269" s="108" t="str">
        <f t="shared" si="428"/>
        <v>NV10843796VàoSáng</v>
      </c>
      <c r="L269" s="102" t="str">
        <f>IFERROR(VLOOKUP(K269,'1. Vân tay'!$F:$G,2,0),0)</f>
        <v>08:10:30</v>
      </c>
      <c r="M269" s="108" t="str">
        <f t="shared" si="429"/>
        <v>NV10843796RaSáng</v>
      </c>
      <c r="N269" s="102">
        <f>IFERROR(VLOOKUP(M269,'1. Vân tay'!$F:$G,2,0),0)</f>
        <v>0</v>
      </c>
      <c r="O269" s="108" t="str">
        <f t="shared" si="430"/>
        <v>NV10843796VàoChiều</v>
      </c>
      <c r="P269" s="102">
        <f>IFERROR(VLOOKUP(O269,'1. Vân tay'!$F:$G,2,0),0)</f>
        <v>0</v>
      </c>
      <c r="Q269" s="108" t="str">
        <f t="shared" si="431"/>
        <v>NV10843796RaChiều</v>
      </c>
      <c r="R269" s="102" t="str">
        <f>IFERROR(VLOOKUP(Q269,'1. Vân tay'!$F:$G,2,0),0)</f>
        <v>17:36:56</v>
      </c>
      <c r="S269" s="102">
        <f t="shared" si="432"/>
        <v>0</v>
      </c>
      <c r="T269" s="109">
        <v>0.33333333333333331</v>
      </c>
      <c r="U269" s="109">
        <v>0.5</v>
      </c>
      <c r="V269" s="109">
        <v>0.5625</v>
      </c>
      <c r="W269" s="109">
        <v>0.72916666666666663</v>
      </c>
      <c r="X269" s="102">
        <f>HDSD!$F$4</f>
        <v>5</v>
      </c>
      <c r="Y269" s="102">
        <f>SUMIFS('2. Đi muộn về sớm'!$K:$K,
'2. Đi muộn về sớm'!$B:$B,$A269,
'2. Đi muộn về sớm'!$D:$D,$J269)</f>
        <v>0</v>
      </c>
      <c r="Z269" s="110">
        <f t="shared" si="433"/>
        <v>10.5</v>
      </c>
      <c r="AA269" s="110">
        <f t="shared" si="434"/>
        <v>0</v>
      </c>
      <c r="AB269" s="111">
        <f t="shared" si="435"/>
        <v>10.5</v>
      </c>
      <c r="AC269" s="112">
        <f t="shared" si="413"/>
        <v>5.5</v>
      </c>
      <c r="AD269" s="113">
        <f t="shared" si="414"/>
        <v>11000</v>
      </c>
      <c r="AE269" s="111">
        <f t="shared" si="436"/>
        <v>0</v>
      </c>
      <c r="AF269" s="113">
        <f t="shared" si="415"/>
        <v>0</v>
      </c>
      <c r="AG269" s="113">
        <f t="shared" si="416"/>
        <v>11000</v>
      </c>
      <c r="AH269" s="114">
        <f t="shared" si="347"/>
        <v>9.4405555555555551</v>
      </c>
      <c r="AI269" s="102" t="str">
        <f t="shared" si="417"/>
        <v>X:8</v>
      </c>
      <c r="AJ269" s="102" t="str">
        <f t="shared" si="418"/>
        <v>NV10843796</v>
      </c>
      <c r="AK269" s="102" t="str">
        <f>IF(OR(J269&lt;D269,J269&gt;F269),"",
IFERROR(INDEX('3. Đơn xin nghỉ'!$K:$K,MATCH('4. Tổng hợp dữ liệu'!AJ269,'3. Đơn xin nghỉ'!$I:$I,0),1),
IF(AND(AU269="Không CC",I269&lt;&gt;1),"Ro:8","")))</f>
        <v/>
      </c>
      <c r="AL269" s="102" t="str">
        <f t="shared" si="419"/>
        <v/>
      </c>
      <c r="AM269" s="102" t="str">
        <f t="shared" si="437"/>
        <v>X:8</v>
      </c>
      <c r="AN269" s="102" t="s">
        <v>92</v>
      </c>
      <c r="AO269" s="102"/>
      <c r="AP269" s="115">
        <f>IFERROR(VLOOKUP(AN269,'Quy đổi công'!A:D,3,0),0)</f>
        <v>1</v>
      </c>
      <c r="AQ269" s="115">
        <f>IFERROR(VLOOKUP(AN269,'Quy đổi công'!A:D,4,0),0)</f>
        <v>0</v>
      </c>
      <c r="AR269" s="115">
        <f t="shared" si="420"/>
        <v>0</v>
      </c>
      <c r="AS269" s="115">
        <f t="shared" si="438"/>
        <v>1</v>
      </c>
      <c r="AT269" s="115">
        <f t="shared" si="439"/>
        <v>0</v>
      </c>
      <c r="AU269" s="102" t="str">
        <f t="shared" si="421"/>
        <v/>
      </c>
      <c r="AV269" s="102" t="str">
        <f t="shared" si="422"/>
        <v/>
      </c>
      <c r="AW269" s="102" t="str">
        <f t="shared" si="423"/>
        <v/>
      </c>
      <c r="AX269" s="102" t="str">
        <f t="shared" si="424"/>
        <v/>
      </c>
      <c r="AY269" s="102" t="str">
        <f t="shared" si="425"/>
        <v/>
      </c>
      <c r="AZ269" s="102"/>
      <c r="BA269" s="102">
        <f>IF(AV269&lt;&gt;0,COUNTIFS($A$7:A269,A269,$AV$7:AV269,"Quên check in"))
+IF(AW269&lt;&gt;0,COUNTIFS($A$7:A269,A269,$AW$7:AW269,"Quên check in"))
+IF(AX269&lt;&gt;0,COUNTIFS($A$7:A269,A269,$AX$7:AX269,"Quên check out"))
+IF(AY269&lt;&gt;0,COUNTIFS($A$7:A269,A269,$AY$7:AY269,"Quên check out"))</f>
        <v>0</v>
      </c>
      <c r="BB269" s="143">
        <f t="shared" si="426"/>
        <v>0</v>
      </c>
    </row>
    <row r="270" spans="1:54" s="83" customFormat="1" ht="14.1" customHeight="1" x14ac:dyDescent="0.3">
      <c r="A270" s="103" t="s">
        <v>7</v>
      </c>
      <c r="B270" s="104" t="s">
        <v>16</v>
      </c>
      <c r="C270" s="105">
        <v>5000000</v>
      </c>
      <c r="D270" s="106">
        <v>43416</v>
      </c>
      <c r="E270" s="107">
        <v>43617</v>
      </c>
      <c r="F270" s="107">
        <v>73415</v>
      </c>
      <c r="G270" s="105">
        <v>26</v>
      </c>
      <c r="H270" s="105">
        <f t="shared" si="427"/>
        <v>4</v>
      </c>
      <c r="I270" s="105"/>
      <c r="J270" s="108">
        <v>43796</v>
      </c>
      <c r="K270" s="108" t="str">
        <f t="shared" si="428"/>
        <v>NV10943796VàoSáng</v>
      </c>
      <c r="L270" s="102" t="str">
        <f>IFERROR(VLOOKUP(K270,'1. Vân tay'!$F:$G,2,0),0)</f>
        <v>07:57:34</v>
      </c>
      <c r="M270" s="108" t="str">
        <f t="shared" si="429"/>
        <v>NV10943796RaSáng</v>
      </c>
      <c r="N270" s="102">
        <f>IFERROR(VLOOKUP(M270,'1. Vân tay'!$F:$G,2,0),0)</f>
        <v>0</v>
      </c>
      <c r="O270" s="108" t="str">
        <f t="shared" si="430"/>
        <v>NV10943796VàoChiều</v>
      </c>
      <c r="P270" s="102">
        <f>IFERROR(VLOOKUP(O270,'1. Vân tay'!$F:$G,2,0),0)</f>
        <v>0</v>
      </c>
      <c r="Q270" s="108" t="str">
        <f t="shared" si="431"/>
        <v>NV10943796RaChiều</v>
      </c>
      <c r="R270" s="102" t="str">
        <f>IFERROR(VLOOKUP(Q270,'1. Vân tay'!$F:$G,2,0),0)</f>
        <v>17:32:26</v>
      </c>
      <c r="S270" s="102">
        <f t="shared" si="432"/>
        <v>0</v>
      </c>
      <c r="T270" s="109">
        <v>0.33333333333333331</v>
      </c>
      <c r="U270" s="109">
        <v>0.5</v>
      </c>
      <c r="V270" s="109">
        <v>0.5625</v>
      </c>
      <c r="W270" s="109">
        <v>0.72916666666666663</v>
      </c>
      <c r="X270" s="102">
        <f>HDSD!$F$4</f>
        <v>5</v>
      </c>
      <c r="Y270" s="102">
        <f>SUMIFS('2. Đi muộn về sớm'!$K:$K,
'2. Đi muộn về sớm'!$B:$B,$A270,
'2. Đi muộn về sớm'!$D:$D,$J270)</f>
        <v>0</v>
      </c>
      <c r="Z270" s="110">
        <f t="shared" si="433"/>
        <v>0</v>
      </c>
      <c r="AA270" s="110">
        <f t="shared" si="434"/>
        <v>0</v>
      </c>
      <c r="AB270" s="111">
        <f t="shared" si="435"/>
        <v>0</v>
      </c>
      <c r="AC270" s="112">
        <f t="shared" si="413"/>
        <v>0</v>
      </c>
      <c r="AD270" s="113">
        <f t="shared" si="414"/>
        <v>0</v>
      </c>
      <c r="AE270" s="111">
        <f t="shared" si="436"/>
        <v>0</v>
      </c>
      <c r="AF270" s="113">
        <f t="shared" si="415"/>
        <v>0</v>
      </c>
      <c r="AG270" s="113">
        <f t="shared" si="416"/>
        <v>0</v>
      </c>
      <c r="AH270" s="114">
        <f t="shared" si="347"/>
        <v>9.5811111111111114</v>
      </c>
      <c r="AI270" s="102" t="str">
        <f t="shared" si="417"/>
        <v>X:8</v>
      </c>
      <c r="AJ270" s="102" t="str">
        <f t="shared" si="418"/>
        <v>NV10943796</v>
      </c>
      <c r="AK270" s="102" t="str">
        <f>IF(OR(J270&lt;D270,J270&gt;F270),"",
IFERROR(INDEX('3. Đơn xin nghỉ'!$K:$K,MATCH('4. Tổng hợp dữ liệu'!AJ270,'3. Đơn xin nghỉ'!$I:$I,0),1),
IF(AND(AU270="Không CC",I270&lt;&gt;1),"Ro:8","")))</f>
        <v/>
      </c>
      <c r="AL270" s="102" t="str">
        <f t="shared" si="419"/>
        <v/>
      </c>
      <c r="AM270" s="102" t="str">
        <f t="shared" si="437"/>
        <v>X:8</v>
      </c>
      <c r="AN270" s="102" t="s">
        <v>92</v>
      </c>
      <c r="AO270" s="102"/>
      <c r="AP270" s="115">
        <f>IFERROR(VLOOKUP(AN270,'Quy đổi công'!A:D,3,0),0)</f>
        <v>1</v>
      </c>
      <c r="AQ270" s="115">
        <f>IFERROR(VLOOKUP(AN270,'Quy đổi công'!A:D,4,0),0)</f>
        <v>0</v>
      </c>
      <c r="AR270" s="115">
        <f t="shared" si="420"/>
        <v>0</v>
      </c>
      <c r="AS270" s="115">
        <f t="shared" si="438"/>
        <v>1</v>
      </c>
      <c r="AT270" s="115">
        <f t="shared" si="439"/>
        <v>0</v>
      </c>
      <c r="AU270" s="102" t="str">
        <f t="shared" si="421"/>
        <v/>
      </c>
      <c r="AV270" s="102" t="str">
        <f t="shared" si="422"/>
        <v/>
      </c>
      <c r="AW270" s="102" t="str">
        <f t="shared" si="423"/>
        <v/>
      </c>
      <c r="AX270" s="102" t="str">
        <f t="shared" si="424"/>
        <v/>
      </c>
      <c r="AY270" s="102" t="str">
        <f t="shared" si="425"/>
        <v/>
      </c>
      <c r="AZ270" s="102"/>
      <c r="BA270" s="102">
        <f>IF(AV270&lt;&gt;0,COUNTIFS($A$7:A270,A270,$AV$7:AV270,"Quên check in"))
+IF(AW270&lt;&gt;0,COUNTIFS($A$7:A270,A270,$AW$7:AW270,"Quên check in"))
+IF(AX270&lt;&gt;0,COUNTIFS($A$7:A270,A270,$AX$7:AX270,"Quên check out"))
+IF(AY270&lt;&gt;0,COUNTIFS($A$7:A270,A270,$AY$7:AY270,"Quên check out"))</f>
        <v>0</v>
      </c>
      <c r="BB270" s="143">
        <f t="shared" si="426"/>
        <v>0</v>
      </c>
    </row>
    <row r="271" spans="1:54" s="83" customFormat="1" ht="14.1" customHeight="1" x14ac:dyDescent="0.3">
      <c r="A271" s="103" t="s">
        <v>8</v>
      </c>
      <c r="B271" s="104" t="s">
        <v>17</v>
      </c>
      <c r="C271" s="105">
        <v>5000000</v>
      </c>
      <c r="D271" s="106">
        <v>43423</v>
      </c>
      <c r="E271" s="107">
        <v>43617</v>
      </c>
      <c r="F271" s="107">
        <v>73415</v>
      </c>
      <c r="G271" s="105">
        <v>26</v>
      </c>
      <c r="H271" s="105">
        <f t="shared" si="427"/>
        <v>4</v>
      </c>
      <c r="I271" s="105"/>
      <c r="J271" s="108">
        <v>43796</v>
      </c>
      <c r="K271" s="108" t="str">
        <f t="shared" si="428"/>
        <v>NV11343796VàoSáng</v>
      </c>
      <c r="L271" s="102" t="str">
        <f>IFERROR(VLOOKUP(K271,'1. Vân tay'!$F:$G,2,0),0)</f>
        <v>07:55:54</v>
      </c>
      <c r="M271" s="108" t="str">
        <f t="shared" si="429"/>
        <v>NV11343796RaSáng</v>
      </c>
      <c r="N271" s="102">
        <f>IFERROR(VLOOKUP(M271,'1. Vân tay'!$F:$G,2,0),0)</f>
        <v>0</v>
      </c>
      <c r="O271" s="108" t="str">
        <f t="shared" si="430"/>
        <v>NV11343796VàoChiều</v>
      </c>
      <c r="P271" s="102">
        <f>IFERROR(VLOOKUP(O271,'1. Vân tay'!$F:$G,2,0),0)</f>
        <v>0</v>
      </c>
      <c r="Q271" s="108" t="str">
        <f t="shared" si="431"/>
        <v>NV11343796RaChiều</v>
      </c>
      <c r="R271" s="102" t="str">
        <f>IFERROR(VLOOKUP(Q271,'1. Vân tay'!$F:$G,2,0),0)</f>
        <v>17:34:58</v>
      </c>
      <c r="S271" s="102">
        <f t="shared" si="432"/>
        <v>0</v>
      </c>
      <c r="T271" s="109">
        <v>0.33333333333333331</v>
      </c>
      <c r="U271" s="109">
        <v>0.5</v>
      </c>
      <c r="V271" s="109">
        <v>0.5625</v>
      </c>
      <c r="W271" s="109">
        <v>0.72916666666666663</v>
      </c>
      <c r="X271" s="102">
        <f>HDSD!$F$4</f>
        <v>5</v>
      </c>
      <c r="Y271" s="102">
        <f>SUMIFS('2. Đi muộn về sớm'!$K:$K,
'2. Đi muộn về sớm'!$B:$B,$A271,
'2. Đi muộn về sớm'!$D:$D,$J271)</f>
        <v>0</v>
      </c>
      <c r="Z271" s="110">
        <f t="shared" si="433"/>
        <v>0</v>
      </c>
      <c r="AA271" s="110">
        <f t="shared" si="434"/>
        <v>0</v>
      </c>
      <c r="AB271" s="111">
        <f t="shared" si="435"/>
        <v>0</v>
      </c>
      <c r="AC271" s="112">
        <f t="shared" si="413"/>
        <v>0</v>
      </c>
      <c r="AD271" s="113">
        <f t="shared" si="414"/>
        <v>0</v>
      </c>
      <c r="AE271" s="111">
        <f t="shared" si="436"/>
        <v>0</v>
      </c>
      <c r="AF271" s="113">
        <f t="shared" si="415"/>
        <v>0</v>
      </c>
      <c r="AG271" s="113">
        <f t="shared" si="416"/>
        <v>0</v>
      </c>
      <c r="AH271" s="114">
        <f t="shared" si="347"/>
        <v>9.6511111111111116</v>
      </c>
      <c r="AI271" s="102" t="str">
        <f t="shared" si="417"/>
        <v>X:8</v>
      </c>
      <c r="AJ271" s="102" t="str">
        <f t="shared" si="418"/>
        <v>NV11343796</v>
      </c>
      <c r="AK271" s="102" t="str">
        <f>IF(OR(J271&lt;D271,J271&gt;F271),"",
IFERROR(INDEX('3. Đơn xin nghỉ'!$K:$K,MATCH('4. Tổng hợp dữ liệu'!AJ271,'3. Đơn xin nghỉ'!$I:$I,0),1),
IF(AND(AU271="Không CC",I271&lt;&gt;1),"Ro:8","")))</f>
        <v/>
      </c>
      <c r="AL271" s="102" t="str">
        <f t="shared" si="419"/>
        <v/>
      </c>
      <c r="AM271" s="102" t="str">
        <f t="shared" si="437"/>
        <v>X:8</v>
      </c>
      <c r="AN271" s="102" t="s">
        <v>92</v>
      </c>
      <c r="AO271" s="102"/>
      <c r="AP271" s="115">
        <f>IFERROR(VLOOKUP(AN271,'Quy đổi công'!A:D,3,0),0)</f>
        <v>1</v>
      </c>
      <c r="AQ271" s="115">
        <f>IFERROR(VLOOKUP(AN271,'Quy đổi công'!A:D,4,0),0)</f>
        <v>0</v>
      </c>
      <c r="AR271" s="115">
        <f t="shared" si="420"/>
        <v>0</v>
      </c>
      <c r="AS271" s="115">
        <f t="shared" si="438"/>
        <v>1</v>
      </c>
      <c r="AT271" s="115">
        <f t="shared" si="439"/>
        <v>0</v>
      </c>
      <c r="AU271" s="102" t="str">
        <f t="shared" si="421"/>
        <v/>
      </c>
      <c r="AV271" s="102" t="str">
        <f t="shared" si="422"/>
        <v/>
      </c>
      <c r="AW271" s="102" t="str">
        <f t="shared" si="423"/>
        <v/>
      </c>
      <c r="AX271" s="102" t="str">
        <f t="shared" si="424"/>
        <v/>
      </c>
      <c r="AY271" s="102" t="str">
        <f t="shared" si="425"/>
        <v/>
      </c>
      <c r="AZ271" s="102"/>
      <c r="BA271" s="102">
        <f>IF(AV271&lt;&gt;0,COUNTIFS($A$7:A271,A271,$AV$7:AV271,"Quên check in"))
+IF(AW271&lt;&gt;0,COUNTIFS($A$7:A271,A271,$AW$7:AW271,"Quên check in"))
+IF(AX271&lt;&gt;0,COUNTIFS($A$7:A271,A271,$AX$7:AX271,"Quên check out"))
+IF(AY271&lt;&gt;0,COUNTIFS($A$7:A271,A271,$AY$7:AY271,"Quên check out"))</f>
        <v>1</v>
      </c>
      <c r="BB271" s="143">
        <f t="shared" si="426"/>
        <v>0</v>
      </c>
    </row>
    <row r="272" spans="1:54" s="83" customFormat="1" ht="14.1" customHeight="1" x14ac:dyDescent="0.3">
      <c r="A272" s="103" t="s">
        <v>9</v>
      </c>
      <c r="B272" s="104" t="s">
        <v>18</v>
      </c>
      <c r="C272" s="105">
        <v>4900000</v>
      </c>
      <c r="D272" s="106">
        <v>43437</v>
      </c>
      <c r="E272" s="107">
        <v>43617</v>
      </c>
      <c r="F272" s="107">
        <v>73415</v>
      </c>
      <c r="G272" s="105">
        <v>26</v>
      </c>
      <c r="H272" s="105">
        <f t="shared" si="427"/>
        <v>4</v>
      </c>
      <c r="I272" s="105"/>
      <c r="J272" s="108">
        <v>43796</v>
      </c>
      <c r="K272" s="108" t="str">
        <f t="shared" si="428"/>
        <v>NV11443796VàoSáng</v>
      </c>
      <c r="L272" s="102">
        <f>IFERROR(VLOOKUP(K272,'1. Vân tay'!$F:$G,2,0),0)</f>
        <v>0</v>
      </c>
      <c r="M272" s="108" t="str">
        <f t="shared" si="429"/>
        <v>NV11443796RaSáng</v>
      </c>
      <c r="N272" s="102">
        <f>IFERROR(VLOOKUP(M272,'1. Vân tay'!$F:$G,2,0),0)</f>
        <v>0</v>
      </c>
      <c r="O272" s="108" t="str">
        <f t="shared" si="430"/>
        <v>NV11443796VàoChiều</v>
      </c>
      <c r="P272" s="102">
        <f>IFERROR(VLOOKUP(O272,'1. Vân tay'!$F:$G,2,0),0)</f>
        <v>0</v>
      </c>
      <c r="Q272" s="108" t="str">
        <f t="shared" si="431"/>
        <v>NV11443796RaChiều</v>
      </c>
      <c r="R272" s="102">
        <f>IFERROR(VLOOKUP(Q272,'1. Vân tay'!$F:$G,2,0),0)</f>
        <v>0</v>
      </c>
      <c r="S272" s="102">
        <f t="shared" si="432"/>
        <v>0</v>
      </c>
      <c r="T272" s="109">
        <v>0.33333333333333331</v>
      </c>
      <c r="U272" s="109">
        <v>0.5</v>
      </c>
      <c r="V272" s="109">
        <v>0.5625</v>
      </c>
      <c r="W272" s="109">
        <v>0.72916666666666663</v>
      </c>
      <c r="X272" s="102">
        <f>HDSD!$F$4</f>
        <v>5</v>
      </c>
      <c r="Y272" s="102">
        <f>SUMIFS('2. Đi muộn về sớm'!$K:$K,
'2. Đi muộn về sớm'!$B:$B,$A272,
'2. Đi muộn về sớm'!$D:$D,$J272)</f>
        <v>0</v>
      </c>
      <c r="Z272" s="110">
        <f t="shared" si="433"/>
        <v>0</v>
      </c>
      <c r="AA272" s="110">
        <f t="shared" si="434"/>
        <v>0</v>
      </c>
      <c r="AB272" s="111">
        <f t="shared" si="435"/>
        <v>0</v>
      </c>
      <c r="AC272" s="112">
        <f t="shared" si="413"/>
        <v>0</v>
      </c>
      <c r="AD272" s="113">
        <f t="shared" si="414"/>
        <v>0</v>
      </c>
      <c r="AE272" s="111">
        <f t="shared" si="436"/>
        <v>0</v>
      </c>
      <c r="AF272" s="113">
        <f t="shared" si="415"/>
        <v>0</v>
      </c>
      <c r="AG272" s="113">
        <f t="shared" si="416"/>
        <v>0</v>
      </c>
      <c r="AH272" s="114">
        <f t="shared" si="347"/>
        <v>0</v>
      </c>
      <c r="AI272" s="102" t="str">
        <f t="shared" si="417"/>
        <v/>
      </c>
      <c r="AJ272" s="102" t="str">
        <f t="shared" si="418"/>
        <v>NV11443796</v>
      </c>
      <c r="AK272" s="102" t="str">
        <f>IF(OR(J272&lt;D272,J272&gt;F272),"",
IFERROR(INDEX('3. Đơn xin nghỉ'!$K:$K,MATCH('4. Tổng hợp dữ liệu'!AJ272,'3. Đơn xin nghỉ'!$I:$I,0),1),
IF(AND(AU272="Không CC",I272&lt;&gt;1),"Ro:8","")))</f>
        <v>Ro:8</v>
      </c>
      <c r="AL272" s="102" t="str">
        <f t="shared" si="419"/>
        <v/>
      </c>
      <c r="AM272" s="102" t="str">
        <f t="shared" si="437"/>
        <v>Ro:8</v>
      </c>
      <c r="AN272" s="102" t="s">
        <v>81</v>
      </c>
      <c r="AO272" s="102"/>
      <c r="AP272" s="115">
        <f>IFERROR(VLOOKUP(AN272,'Quy đổi công'!A:D,3,0),0)</f>
        <v>0</v>
      </c>
      <c r="AQ272" s="115">
        <f>IFERROR(VLOOKUP(AN272,'Quy đổi công'!A:D,4,0),0)</f>
        <v>1</v>
      </c>
      <c r="AR272" s="115">
        <f t="shared" si="420"/>
        <v>0</v>
      </c>
      <c r="AS272" s="115">
        <f t="shared" si="438"/>
        <v>0</v>
      </c>
      <c r="AT272" s="115">
        <f t="shared" si="439"/>
        <v>0</v>
      </c>
      <c r="AU272" s="102" t="str">
        <f t="shared" si="421"/>
        <v>Không CC</v>
      </c>
      <c r="AV272" s="102" t="str">
        <f t="shared" si="422"/>
        <v/>
      </c>
      <c r="AW272" s="102" t="str">
        <f t="shared" si="423"/>
        <v/>
      </c>
      <c r="AX272" s="102" t="str">
        <f t="shared" si="424"/>
        <v/>
      </c>
      <c r="AY272" s="102" t="str">
        <f t="shared" si="425"/>
        <v/>
      </c>
      <c r="AZ272" s="102"/>
      <c r="BA272" s="102">
        <f>IF(AV272&lt;&gt;0,COUNTIFS($A$7:A272,A272,$AV$7:AV272,"Quên check in"))
+IF(AW272&lt;&gt;0,COUNTIFS($A$7:A272,A272,$AW$7:AW272,"Quên check in"))
+IF(AX272&lt;&gt;0,COUNTIFS($A$7:A272,A272,$AX$7:AX272,"Quên check out"))
+IF(AY272&lt;&gt;0,COUNTIFS($A$7:A272,A272,$AY$7:AY272,"Quên check out"))</f>
        <v>1</v>
      </c>
      <c r="BB272" s="143">
        <f t="shared" si="426"/>
        <v>0</v>
      </c>
    </row>
    <row r="273" spans="1:54" s="83" customFormat="1" ht="14.1" customHeight="1" x14ac:dyDescent="0.3">
      <c r="A273" s="103" t="s">
        <v>10</v>
      </c>
      <c r="B273" s="104" t="s">
        <v>19</v>
      </c>
      <c r="C273" s="105">
        <v>5000000</v>
      </c>
      <c r="D273" s="106">
        <v>43445</v>
      </c>
      <c r="E273" s="107">
        <v>43647</v>
      </c>
      <c r="F273" s="107">
        <v>73415</v>
      </c>
      <c r="G273" s="105">
        <v>26</v>
      </c>
      <c r="H273" s="105">
        <f t="shared" si="427"/>
        <v>4</v>
      </c>
      <c r="I273" s="105"/>
      <c r="J273" s="108">
        <v>43796</v>
      </c>
      <c r="K273" s="108" t="str">
        <f t="shared" si="428"/>
        <v>NV11843796VàoSáng</v>
      </c>
      <c r="L273" s="102" t="str">
        <f>IFERROR(VLOOKUP(K273,'1. Vân tay'!$F:$G,2,0),0)</f>
        <v>08:05:09</v>
      </c>
      <c r="M273" s="108" t="str">
        <f t="shared" si="429"/>
        <v>NV11843796RaSáng</v>
      </c>
      <c r="N273" s="102">
        <f>IFERROR(VLOOKUP(M273,'1. Vân tay'!$F:$G,2,0),0)</f>
        <v>0</v>
      </c>
      <c r="O273" s="108" t="str">
        <f t="shared" si="430"/>
        <v>NV11843796VàoChiều</v>
      </c>
      <c r="P273" s="102">
        <f>IFERROR(VLOOKUP(O273,'1. Vân tay'!$F:$G,2,0),0)</f>
        <v>0</v>
      </c>
      <c r="Q273" s="108" t="str">
        <f t="shared" si="431"/>
        <v>NV11843796RaChiều</v>
      </c>
      <c r="R273" s="102" t="str">
        <f>IFERROR(VLOOKUP(Q273,'1. Vân tay'!$F:$G,2,0),0)</f>
        <v>17:35:54</v>
      </c>
      <c r="S273" s="102">
        <f t="shared" si="432"/>
        <v>0</v>
      </c>
      <c r="T273" s="109">
        <v>0.33333333333333331</v>
      </c>
      <c r="U273" s="109">
        <v>0.5</v>
      </c>
      <c r="V273" s="109">
        <v>0.5625</v>
      </c>
      <c r="W273" s="109">
        <v>0.72916666666666663</v>
      </c>
      <c r="X273" s="102">
        <f>HDSD!$F$4</f>
        <v>5</v>
      </c>
      <c r="Y273" s="102">
        <f>SUMIFS('2. Đi muộn về sớm'!$K:$K,
'2. Đi muộn về sớm'!$B:$B,$A273,
'2. Đi muộn về sớm'!$D:$D,$J273)</f>
        <v>0</v>
      </c>
      <c r="Z273" s="110">
        <f t="shared" si="433"/>
        <v>5.15</v>
      </c>
      <c r="AA273" s="110">
        <f t="shared" si="434"/>
        <v>0</v>
      </c>
      <c r="AB273" s="111">
        <f t="shared" si="435"/>
        <v>5.15</v>
      </c>
      <c r="AC273" s="112">
        <f t="shared" si="413"/>
        <v>0.15000000000000036</v>
      </c>
      <c r="AD273" s="113">
        <f t="shared" si="414"/>
        <v>300.00000000000068</v>
      </c>
      <c r="AE273" s="111">
        <f t="shared" si="436"/>
        <v>0</v>
      </c>
      <c r="AF273" s="113">
        <f t="shared" si="415"/>
        <v>0</v>
      </c>
      <c r="AG273" s="113">
        <f t="shared" si="416"/>
        <v>300.00000000000068</v>
      </c>
      <c r="AH273" s="114">
        <f t="shared" si="347"/>
        <v>9.5124999999999993</v>
      </c>
      <c r="AI273" s="102" t="str">
        <f t="shared" si="417"/>
        <v>X:8</v>
      </c>
      <c r="AJ273" s="102" t="str">
        <f t="shared" si="418"/>
        <v>NV11843796</v>
      </c>
      <c r="AK273" s="102" t="str">
        <f>IF(OR(J273&lt;D273,J273&gt;F273),"",
IFERROR(INDEX('3. Đơn xin nghỉ'!$K:$K,MATCH('4. Tổng hợp dữ liệu'!AJ273,'3. Đơn xin nghỉ'!$I:$I,0),1),
IF(AND(AU273="Không CC",I273&lt;&gt;1),"Ro:8","")))</f>
        <v/>
      </c>
      <c r="AL273" s="102" t="str">
        <f t="shared" si="419"/>
        <v/>
      </c>
      <c r="AM273" s="102" t="str">
        <f t="shared" si="437"/>
        <v>X:8</v>
      </c>
      <c r="AN273" s="102" t="s">
        <v>92</v>
      </c>
      <c r="AO273" s="102"/>
      <c r="AP273" s="115">
        <f>IFERROR(VLOOKUP(AN273,'Quy đổi công'!A:D,3,0),0)</f>
        <v>1</v>
      </c>
      <c r="AQ273" s="115">
        <f>IFERROR(VLOOKUP(AN273,'Quy đổi công'!A:D,4,0),0)</f>
        <v>0</v>
      </c>
      <c r="AR273" s="115">
        <f t="shared" si="420"/>
        <v>0</v>
      </c>
      <c r="AS273" s="115">
        <f t="shared" si="438"/>
        <v>1</v>
      </c>
      <c r="AT273" s="115">
        <f t="shared" si="439"/>
        <v>0</v>
      </c>
      <c r="AU273" s="102" t="str">
        <f t="shared" si="421"/>
        <v/>
      </c>
      <c r="AV273" s="102" t="str">
        <f t="shared" si="422"/>
        <v/>
      </c>
      <c r="AW273" s="102" t="str">
        <f t="shared" si="423"/>
        <v/>
      </c>
      <c r="AX273" s="102" t="str">
        <f t="shared" si="424"/>
        <v/>
      </c>
      <c r="AY273" s="102" t="str">
        <f t="shared" si="425"/>
        <v/>
      </c>
      <c r="AZ273" s="102"/>
      <c r="BA273" s="102">
        <f>IF(AV273&lt;&gt;0,COUNTIFS($A$7:A273,A273,$AV$7:AV273,"Quên check in"))
+IF(AW273&lt;&gt;0,COUNTIFS($A$7:A273,A273,$AW$7:AW273,"Quên check in"))
+IF(AX273&lt;&gt;0,COUNTIFS($A$7:A273,A273,$AX$7:AX273,"Quên check out"))
+IF(AY273&lt;&gt;0,COUNTIFS($A$7:A273,A273,$AY$7:AY273,"Quên check out"))</f>
        <v>1</v>
      </c>
      <c r="BB273" s="143">
        <f t="shared" si="426"/>
        <v>0</v>
      </c>
    </row>
    <row r="274" spans="1:54" s="83" customFormat="1" ht="14.1" customHeight="1" x14ac:dyDescent="0.3">
      <c r="A274" s="103" t="s">
        <v>11</v>
      </c>
      <c r="B274" s="104" t="s">
        <v>20</v>
      </c>
      <c r="C274" s="105">
        <v>4700000</v>
      </c>
      <c r="D274" s="106">
        <v>43467</v>
      </c>
      <c r="E274" s="107">
        <v>43617</v>
      </c>
      <c r="F274" s="107">
        <v>73415</v>
      </c>
      <c r="G274" s="105">
        <v>26</v>
      </c>
      <c r="H274" s="105">
        <f t="shared" si="427"/>
        <v>4</v>
      </c>
      <c r="I274" s="105"/>
      <c r="J274" s="108">
        <v>43796</v>
      </c>
      <c r="K274" s="108" t="str">
        <f t="shared" si="428"/>
        <v>NV12243796VàoSáng</v>
      </c>
      <c r="L274" s="102" t="str">
        <f>IFERROR(VLOOKUP(K274,'1. Vân tay'!$F:$G,2,0),0)</f>
        <v>08:01:40</v>
      </c>
      <c r="M274" s="108" t="str">
        <f t="shared" si="429"/>
        <v>NV12243796RaSáng</v>
      </c>
      <c r="N274" s="102">
        <f>IFERROR(VLOOKUP(M274,'1. Vân tay'!$F:$G,2,0),0)</f>
        <v>0</v>
      </c>
      <c r="O274" s="108" t="str">
        <f t="shared" si="430"/>
        <v>NV12243796VàoChiều</v>
      </c>
      <c r="P274" s="102">
        <f>IFERROR(VLOOKUP(O274,'1. Vân tay'!$F:$G,2,0),0)</f>
        <v>0</v>
      </c>
      <c r="Q274" s="108" t="str">
        <f t="shared" si="431"/>
        <v>NV12243796RaChiều</v>
      </c>
      <c r="R274" s="102" t="str">
        <f>IFERROR(VLOOKUP(Q274,'1. Vân tay'!$F:$G,2,0),0)</f>
        <v>17:30:54</v>
      </c>
      <c r="S274" s="102">
        <f t="shared" si="432"/>
        <v>0</v>
      </c>
      <c r="T274" s="109">
        <v>0.33333333333333331</v>
      </c>
      <c r="U274" s="109">
        <v>0.5</v>
      </c>
      <c r="V274" s="109">
        <v>0.5625</v>
      </c>
      <c r="W274" s="109">
        <v>0.72916666666666663</v>
      </c>
      <c r="X274" s="102">
        <f>HDSD!$F$4</f>
        <v>5</v>
      </c>
      <c r="Y274" s="102">
        <f>SUMIFS('2. Đi muộn về sớm'!$K:$K,
'2. Đi muộn về sớm'!$B:$B,$A274,
'2. Đi muộn về sớm'!$D:$D,$J274)</f>
        <v>0</v>
      </c>
      <c r="Z274" s="110">
        <f t="shared" si="433"/>
        <v>1.6666666666666665</v>
      </c>
      <c r="AA274" s="110">
        <f t="shared" si="434"/>
        <v>0</v>
      </c>
      <c r="AB274" s="111">
        <f t="shared" si="435"/>
        <v>1.6666666666666665</v>
      </c>
      <c r="AC274" s="112">
        <f t="shared" si="413"/>
        <v>0</v>
      </c>
      <c r="AD274" s="113">
        <f t="shared" si="414"/>
        <v>0</v>
      </c>
      <c r="AE274" s="111">
        <f t="shared" si="436"/>
        <v>0</v>
      </c>
      <c r="AF274" s="113">
        <f t="shared" si="415"/>
        <v>0</v>
      </c>
      <c r="AG274" s="113">
        <f t="shared" si="416"/>
        <v>0</v>
      </c>
      <c r="AH274" s="114">
        <f t="shared" si="347"/>
        <v>9.487222222222222</v>
      </c>
      <c r="AI274" s="102" t="str">
        <f t="shared" si="417"/>
        <v>X:8</v>
      </c>
      <c r="AJ274" s="102" t="str">
        <f t="shared" si="418"/>
        <v>NV12243796</v>
      </c>
      <c r="AK274" s="102" t="str">
        <f>IF(OR(J274&lt;D274,J274&gt;F274),"",
IFERROR(INDEX('3. Đơn xin nghỉ'!$K:$K,MATCH('4. Tổng hợp dữ liệu'!AJ274,'3. Đơn xin nghỉ'!$I:$I,0),1),
IF(AND(AU274="Không CC",I274&lt;&gt;1),"Ro:8","")))</f>
        <v/>
      </c>
      <c r="AL274" s="102" t="str">
        <f t="shared" si="419"/>
        <v/>
      </c>
      <c r="AM274" s="102" t="str">
        <f t="shared" si="437"/>
        <v>X:8</v>
      </c>
      <c r="AN274" s="102" t="s">
        <v>92</v>
      </c>
      <c r="AO274" s="102"/>
      <c r="AP274" s="115">
        <f>IFERROR(VLOOKUP(AN274,'Quy đổi công'!A:D,3,0),0)</f>
        <v>1</v>
      </c>
      <c r="AQ274" s="115">
        <f>IFERROR(VLOOKUP(AN274,'Quy đổi công'!A:D,4,0),0)</f>
        <v>0</v>
      </c>
      <c r="AR274" s="115">
        <f t="shared" si="420"/>
        <v>0</v>
      </c>
      <c r="AS274" s="115">
        <f t="shared" si="438"/>
        <v>1</v>
      </c>
      <c r="AT274" s="115">
        <f t="shared" si="439"/>
        <v>0</v>
      </c>
      <c r="AU274" s="102" t="str">
        <f t="shared" si="421"/>
        <v/>
      </c>
      <c r="AV274" s="102" t="str">
        <f t="shared" si="422"/>
        <v/>
      </c>
      <c r="AW274" s="102" t="str">
        <f t="shared" si="423"/>
        <v/>
      </c>
      <c r="AX274" s="102" t="str">
        <f t="shared" si="424"/>
        <v/>
      </c>
      <c r="AY274" s="102" t="str">
        <f t="shared" si="425"/>
        <v/>
      </c>
      <c r="AZ274" s="102"/>
      <c r="BA274" s="102">
        <f>IF(AV274&lt;&gt;0,COUNTIFS($A$7:A274,A274,$AV$7:AV274,"Quên check in"))
+IF(AW274&lt;&gt;0,COUNTIFS($A$7:A274,A274,$AW$7:AW274,"Quên check in"))
+IF(AX274&lt;&gt;0,COUNTIFS($A$7:A274,A274,$AX$7:AX274,"Quên check out"))
+IF(AY274&lt;&gt;0,COUNTIFS($A$7:A274,A274,$AY$7:AY274,"Quên check out"))</f>
        <v>1</v>
      </c>
      <c r="BB274" s="143">
        <f t="shared" si="426"/>
        <v>0</v>
      </c>
    </row>
    <row r="275" spans="1:54" s="83" customFormat="1" ht="14.1" customHeight="1" x14ac:dyDescent="0.3">
      <c r="A275" s="103" t="s">
        <v>12</v>
      </c>
      <c r="B275" s="104" t="s">
        <v>21</v>
      </c>
      <c r="C275" s="105">
        <v>5000000</v>
      </c>
      <c r="D275" s="106">
        <v>43482</v>
      </c>
      <c r="E275" s="107">
        <v>43647</v>
      </c>
      <c r="F275" s="107">
        <v>73415</v>
      </c>
      <c r="G275" s="105">
        <v>26</v>
      </c>
      <c r="H275" s="105">
        <f t="shared" si="427"/>
        <v>4</v>
      </c>
      <c r="I275" s="105"/>
      <c r="J275" s="108">
        <v>43796</v>
      </c>
      <c r="K275" s="108" t="str">
        <f t="shared" si="428"/>
        <v>NV12343796VàoSáng</v>
      </c>
      <c r="L275" s="102" t="str">
        <f>IFERROR(VLOOKUP(K275,'1. Vân tay'!$F:$G,2,0),0)</f>
        <v>07:55:32</v>
      </c>
      <c r="M275" s="108" t="str">
        <f t="shared" si="429"/>
        <v>NV12343796RaSáng</v>
      </c>
      <c r="N275" s="102">
        <f>IFERROR(VLOOKUP(M275,'1. Vân tay'!$F:$G,2,0),0)</f>
        <v>0</v>
      </c>
      <c r="O275" s="108" t="str">
        <f t="shared" si="430"/>
        <v>NV12343796VàoChiều</v>
      </c>
      <c r="P275" s="102">
        <f>IFERROR(VLOOKUP(O275,'1. Vân tay'!$F:$G,2,0),0)</f>
        <v>0</v>
      </c>
      <c r="Q275" s="108" t="str">
        <f t="shared" si="431"/>
        <v>NV12343796RaChiều</v>
      </c>
      <c r="R275" s="102" t="str">
        <f>IFERROR(VLOOKUP(Q275,'1. Vân tay'!$F:$G,2,0),0)</f>
        <v>17:54:01</v>
      </c>
      <c r="S275" s="102">
        <f t="shared" si="432"/>
        <v>0</v>
      </c>
      <c r="T275" s="109">
        <v>0.33333333333333331</v>
      </c>
      <c r="U275" s="109">
        <v>0.5</v>
      </c>
      <c r="V275" s="109">
        <v>0.5625</v>
      </c>
      <c r="W275" s="109">
        <v>0.72916666666666663</v>
      </c>
      <c r="X275" s="102">
        <f>HDSD!$F$4</f>
        <v>5</v>
      </c>
      <c r="Y275" s="102">
        <f>SUMIFS('2. Đi muộn về sớm'!$K:$K,
'2. Đi muộn về sớm'!$B:$B,$A275,
'2. Đi muộn về sớm'!$D:$D,$J275)</f>
        <v>0</v>
      </c>
      <c r="Z275" s="110">
        <f t="shared" si="433"/>
        <v>0</v>
      </c>
      <c r="AA275" s="110">
        <f t="shared" si="434"/>
        <v>0</v>
      </c>
      <c r="AB275" s="111">
        <f t="shared" si="435"/>
        <v>0</v>
      </c>
      <c r="AC275" s="112">
        <f t="shared" si="413"/>
        <v>0</v>
      </c>
      <c r="AD275" s="113">
        <f t="shared" si="414"/>
        <v>0</v>
      </c>
      <c r="AE275" s="111">
        <f t="shared" si="436"/>
        <v>0</v>
      </c>
      <c r="AF275" s="113">
        <f t="shared" si="415"/>
        <v>0</v>
      </c>
      <c r="AG275" s="113">
        <f t="shared" si="416"/>
        <v>0</v>
      </c>
      <c r="AH275" s="114">
        <f t="shared" si="347"/>
        <v>9.9747222222222227</v>
      </c>
      <c r="AI275" s="102" t="str">
        <f t="shared" si="417"/>
        <v>X:8</v>
      </c>
      <c r="AJ275" s="102" t="str">
        <f t="shared" si="418"/>
        <v>NV12343796</v>
      </c>
      <c r="AK275" s="102" t="str">
        <f>IF(OR(J275&lt;D275,J275&gt;F275),"",
IFERROR(INDEX('3. Đơn xin nghỉ'!$K:$K,MATCH('4. Tổng hợp dữ liệu'!AJ275,'3. Đơn xin nghỉ'!$I:$I,0),1),
IF(AND(AU275="Không CC",I275&lt;&gt;1),"Ro:8","")))</f>
        <v/>
      </c>
      <c r="AL275" s="102" t="str">
        <f t="shared" si="419"/>
        <v/>
      </c>
      <c r="AM275" s="102" t="str">
        <f t="shared" si="437"/>
        <v>X:8</v>
      </c>
      <c r="AN275" s="102" t="s">
        <v>92</v>
      </c>
      <c r="AO275" s="102"/>
      <c r="AP275" s="115">
        <f>IFERROR(VLOOKUP(AN275,'Quy đổi công'!A:D,3,0),0)</f>
        <v>1</v>
      </c>
      <c r="AQ275" s="115">
        <f>IFERROR(VLOOKUP(AN275,'Quy đổi công'!A:D,4,0),0)</f>
        <v>0</v>
      </c>
      <c r="AR275" s="115">
        <f t="shared" si="420"/>
        <v>0</v>
      </c>
      <c r="AS275" s="115">
        <f t="shared" si="438"/>
        <v>1</v>
      </c>
      <c r="AT275" s="115">
        <f t="shared" si="439"/>
        <v>0</v>
      </c>
      <c r="AU275" s="102" t="str">
        <f t="shared" si="421"/>
        <v/>
      </c>
      <c r="AV275" s="102" t="str">
        <f t="shared" si="422"/>
        <v/>
      </c>
      <c r="AW275" s="102" t="str">
        <f t="shared" si="423"/>
        <v/>
      </c>
      <c r="AX275" s="102" t="str">
        <f t="shared" si="424"/>
        <v/>
      </c>
      <c r="AY275" s="102" t="str">
        <f t="shared" si="425"/>
        <v/>
      </c>
      <c r="AZ275" s="102"/>
      <c r="BA275" s="102">
        <f>IF(AV275&lt;&gt;0,COUNTIFS($A$7:A275,A275,$AV$7:AV275,"Quên check in"))
+IF(AW275&lt;&gt;0,COUNTIFS($A$7:A275,A275,$AW$7:AW275,"Quên check in"))
+IF(AX275&lt;&gt;0,COUNTIFS($A$7:A275,A275,$AX$7:AX275,"Quên check out"))
+IF(AY275&lt;&gt;0,COUNTIFS($A$7:A275,A275,$AY$7:AY275,"Quên check out"))</f>
        <v>1</v>
      </c>
      <c r="BB275" s="143">
        <f t="shared" si="426"/>
        <v>0</v>
      </c>
    </row>
    <row r="276" spans="1:54" s="83" customFormat="1" ht="14.1" customHeight="1" x14ac:dyDescent="0.3">
      <c r="A276" s="103" t="s">
        <v>13</v>
      </c>
      <c r="B276" s="104" t="s">
        <v>22</v>
      </c>
      <c r="C276" s="105">
        <v>4700000</v>
      </c>
      <c r="D276" s="106">
        <v>43531</v>
      </c>
      <c r="E276" s="107">
        <v>43647</v>
      </c>
      <c r="F276" s="107">
        <v>73415</v>
      </c>
      <c r="G276" s="105">
        <v>26</v>
      </c>
      <c r="H276" s="105">
        <f t="shared" si="427"/>
        <v>4</v>
      </c>
      <c r="I276" s="105"/>
      <c r="J276" s="108">
        <v>43796</v>
      </c>
      <c r="K276" s="108" t="str">
        <f t="shared" si="428"/>
        <v>NV12643796VàoSáng</v>
      </c>
      <c r="L276" s="102" t="str">
        <f>IFERROR(VLOOKUP(K276,'1. Vân tay'!$F:$G,2,0),0)</f>
        <v>07:57:09</v>
      </c>
      <c r="M276" s="108" t="str">
        <f t="shared" si="429"/>
        <v>NV12643796RaSáng</v>
      </c>
      <c r="N276" s="102">
        <f>IFERROR(VLOOKUP(M276,'1. Vân tay'!$F:$G,2,0),0)</f>
        <v>0</v>
      </c>
      <c r="O276" s="108" t="str">
        <f t="shared" si="430"/>
        <v>NV12643796VàoChiều</v>
      </c>
      <c r="P276" s="102">
        <f>IFERROR(VLOOKUP(O276,'1. Vân tay'!$F:$G,2,0),0)</f>
        <v>0</v>
      </c>
      <c r="Q276" s="108" t="str">
        <f t="shared" si="431"/>
        <v>NV12643796RaChiều</v>
      </c>
      <c r="R276" s="102" t="str">
        <f>IFERROR(VLOOKUP(Q276,'1. Vân tay'!$F:$G,2,0),0)</f>
        <v>17:56:12</v>
      </c>
      <c r="S276" s="102">
        <f t="shared" si="432"/>
        <v>0</v>
      </c>
      <c r="T276" s="109">
        <v>0.33333333333333331</v>
      </c>
      <c r="U276" s="109">
        <v>0.5</v>
      </c>
      <c r="V276" s="109">
        <v>0.5625</v>
      </c>
      <c r="W276" s="109">
        <v>0.72916666666666663</v>
      </c>
      <c r="X276" s="102">
        <f>HDSD!$F$4</f>
        <v>5</v>
      </c>
      <c r="Y276" s="102">
        <f>SUMIFS('2. Đi muộn về sớm'!$K:$K,
'2. Đi muộn về sớm'!$B:$B,$A276,
'2. Đi muộn về sớm'!$D:$D,$J276)</f>
        <v>0</v>
      </c>
      <c r="Z276" s="110">
        <f t="shared" si="433"/>
        <v>0</v>
      </c>
      <c r="AA276" s="110">
        <f t="shared" si="434"/>
        <v>0</v>
      </c>
      <c r="AB276" s="111">
        <f t="shared" si="435"/>
        <v>0</v>
      </c>
      <c r="AC276" s="112">
        <f t="shared" si="413"/>
        <v>0</v>
      </c>
      <c r="AD276" s="113">
        <f t="shared" si="414"/>
        <v>0</v>
      </c>
      <c r="AE276" s="111">
        <f t="shared" si="436"/>
        <v>0</v>
      </c>
      <c r="AF276" s="113">
        <f t="shared" si="415"/>
        <v>0</v>
      </c>
      <c r="AG276" s="113">
        <f t="shared" si="416"/>
        <v>0</v>
      </c>
      <c r="AH276" s="114">
        <f t="shared" si="347"/>
        <v>9.9841666666666651</v>
      </c>
      <c r="AI276" s="102" t="str">
        <f t="shared" si="417"/>
        <v>X:8</v>
      </c>
      <c r="AJ276" s="102" t="str">
        <f t="shared" si="418"/>
        <v>NV12643796</v>
      </c>
      <c r="AK276" s="102" t="str">
        <f>IF(OR(J276&lt;D276,J276&gt;F276),"",
IFERROR(INDEX('3. Đơn xin nghỉ'!$K:$K,MATCH('4. Tổng hợp dữ liệu'!AJ276,'3. Đơn xin nghỉ'!$I:$I,0),1),
IF(AND(AU276="Không CC",I276&lt;&gt;1),"Ro:8","")))</f>
        <v/>
      </c>
      <c r="AL276" s="102" t="str">
        <f t="shared" si="419"/>
        <v/>
      </c>
      <c r="AM276" s="102" t="str">
        <f t="shared" si="437"/>
        <v>X:8</v>
      </c>
      <c r="AN276" s="102" t="s">
        <v>92</v>
      </c>
      <c r="AO276" s="102"/>
      <c r="AP276" s="115">
        <f>IFERROR(VLOOKUP(AN276,'Quy đổi công'!A:D,3,0),0)</f>
        <v>1</v>
      </c>
      <c r="AQ276" s="115">
        <f>IFERROR(VLOOKUP(AN276,'Quy đổi công'!A:D,4,0),0)</f>
        <v>0</v>
      </c>
      <c r="AR276" s="115">
        <f t="shared" si="420"/>
        <v>0</v>
      </c>
      <c r="AS276" s="115">
        <f t="shared" si="438"/>
        <v>1</v>
      </c>
      <c r="AT276" s="115">
        <f t="shared" si="439"/>
        <v>0</v>
      </c>
      <c r="AU276" s="102" t="str">
        <f t="shared" si="421"/>
        <v/>
      </c>
      <c r="AV276" s="102" t="str">
        <f t="shared" si="422"/>
        <v/>
      </c>
      <c r="AW276" s="102" t="str">
        <f t="shared" si="423"/>
        <v/>
      </c>
      <c r="AX276" s="102" t="str">
        <f t="shared" si="424"/>
        <v/>
      </c>
      <c r="AY276" s="102" t="str">
        <f t="shared" si="425"/>
        <v/>
      </c>
      <c r="AZ276" s="102"/>
      <c r="BA276" s="102">
        <f>IF(AV276&lt;&gt;0,COUNTIFS($A$7:A276,A276,$AV$7:AV276,"Quên check in"))
+IF(AW276&lt;&gt;0,COUNTIFS($A$7:A276,A276,$AW$7:AW276,"Quên check in"))
+IF(AX276&lt;&gt;0,COUNTIFS($A$7:A276,A276,$AX$7:AX276,"Quên check out"))
+IF(AY276&lt;&gt;0,COUNTIFS($A$7:A276,A276,$AY$7:AY276,"Quên check out"))</f>
        <v>0</v>
      </c>
      <c r="BB276" s="143">
        <f t="shared" si="426"/>
        <v>0</v>
      </c>
    </row>
    <row r="277" spans="1:54" s="83" customFormat="1" ht="14.1" customHeight="1" x14ac:dyDescent="0.3">
      <c r="A277" s="103" t="s">
        <v>4</v>
      </c>
      <c r="B277" s="104" t="s">
        <v>14</v>
      </c>
      <c r="C277" s="105">
        <v>4700000</v>
      </c>
      <c r="D277" s="106">
        <v>43388</v>
      </c>
      <c r="E277" s="107">
        <v>43525</v>
      </c>
      <c r="F277" s="107">
        <v>73415</v>
      </c>
      <c r="G277" s="105">
        <v>26</v>
      </c>
      <c r="H277" s="105">
        <f t="shared" ref="H277:H286" si="440">WEEKDAY(J277,1)</f>
        <v>5</v>
      </c>
      <c r="I277" s="105"/>
      <c r="J277" s="108">
        <v>43797</v>
      </c>
      <c r="K277" s="108" t="str">
        <f t="shared" ref="K277:K286" si="441">$A277&amp;$J277&amp;"Vào"&amp;"Sáng"</f>
        <v>NV10143797VàoSáng</v>
      </c>
      <c r="L277" s="102" t="str">
        <f>IFERROR(VLOOKUP(K277,'1. Vân tay'!$F:$G,2,0),0)</f>
        <v>08:04:34</v>
      </c>
      <c r="M277" s="108" t="str">
        <f t="shared" ref="M277:M286" si="442">$A277&amp;$J277&amp;"Ra"&amp;"Sáng"</f>
        <v>NV10143797RaSáng</v>
      </c>
      <c r="N277" s="102">
        <f>IFERROR(VLOOKUP(M277,'1. Vân tay'!$F:$G,2,0),0)</f>
        <v>0</v>
      </c>
      <c r="O277" s="108" t="str">
        <f t="shared" ref="O277:O286" si="443">$A277&amp;$J277&amp;"Vào"&amp;"Chiều"</f>
        <v>NV10143797VàoChiều</v>
      </c>
      <c r="P277" s="102">
        <f>IFERROR(VLOOKUP(O277,'1. Vân tay'!$F:$G,2,0),0)</f>
        <v>0</v>
      </c>
      <c r="Q277" s="108" t="str">
        <f t="shared" ref="Q277:Q286" si="444">$A277&amp;$J277&amp;"Ra"&amp;"Chiều"</f>
        <v>NV10143797RaChiều</v>
      </c>
      <c r="R277" s="102" t="str">
        <f>IFERROR(VLOOKUP(Q277,'1. Vân tay'!$F:$G,2,0),0)</f>
        <v>17:30:23</v>
      </c>
      <c r="S277" s="102">
        <f t="shared" ref="S277:S286" si="445">IF(OR(
(AND(L277&lt;&gt;0,P277&lt;&gt;0)),
(AND(N277&lt;&gt;0,R277&lt;&gt;0))),"Kiểm tra",0)</f>
        <v>0</v>
      </c>
      <c r="T277" s="109">
        <v>0.33333333333333331</v>
      </c>
      <c r="U277" s="109">
        <v>0.5</v>
      </c>
      <c r="V277" s="109">
        <v>0.5625</v>
      </c>
      <c r="W277" s="109">
        <v>0.72916666666666663</v>
      </c>
      <c r="X277" s="102">
        <f>HDSD!$F$4</f>
        <v>5</v>
      </c>
      <c r="Y277" s="102">
        <f>SUMIFS('2. Đi muộn về sớm'!$K:$K,
'2. Đi muộn về sớm'!$B:$B,$A277,
'2. Đi muộn về sớm'!$D:$D,$J277)</f>
        <v>0</v>
      </c>
      <c r="Z277" s="110">
        <f t="shared" ref="Z277:Z286" si="446">IF(L277=0,0,IFERROR((HOUR(L277-T277)*60+MINUTE(L277-T277)+SECOND(L277-T277)/60),0))
+IF(N277=0,0, IFERROR((HOUR(U277-N277)*60+MINUTE(U277-N277)+SECOND(U277-N277)/60),0))
+IF(P277=0,0, IFERROR((HOUR(P277-V277)*60+MINUTE(P277-V277)+SECOND(P277-V277)/60),0))
+IF(R277=0,0, IFERROR((HOUR(W277-R277)*60+MINUTE(W277-R277)+SECOND(W277-R277)/60),0))</f>
        <v>4.5666666666666664</v>
      </c>
      <c r="AA277" s="110">
        <f t="shared" ref="AA277:AA286" si="447">IF(L277=0,0,IFERROR((HOUR(L277-"09:00:00")*60+MINUTE(L277-"09:00:00")+SECOND(L277-"09:00:00")/60),0))
+IF(N277=0,0, IFERROR((HOUR(U277-N277)*60+MINUTE(U277-N277)+SECOND(U277-N277)/60),0))
+IF(P277=0,0, IFERROR((HOUR(P277-V277)*60+MINUTE(P277-V277)+SECOND(P277-V277)/60),0))
+IF(R277=0,0, IFERROR((HOUR("16:30:00"-R277)*60+MINUTE("16:30:00"-R277)+SECOND("16:30:00"-R277)/60),0))</f>
        <v>0</v>
      </c>
      <c r="AB277" s="111">
        <f t="shared" ref="AB277:AB286" si="448">Z277-AA277</f>
        <v>4.5666666666666664</v>
      </c>
      <c r="AC277" s="112">
        <f t="shared" si="413"/>
        <v>0</v>
      </c>
      <c r="AD277" s="113">
        <f t="shared" si="414"/>
        <v>0</v>
      </c>
      <c r="AE277" s="111">
        <f t="shared" ref="AE277:AE286" si="449">AA277/60/8</f>
        <v>0</v>
      </c>
      <c r="AF277" s="113">
        <f t="shared" si="415"/>
        <v>0</v>
      </c>
      <c r="AG277" s="113">
        <f t="shared" si="416"/>
        <v>0</v>
      </c>
      <c r="AH277" s="114">
        <f t="shared" si="347"/>
        <v>9.4302777777777766</v>
      </c>
      <c r="AI277" s="102" t="str">
        <f t="shared" si="417"/>
        <v>X:8</v>
      </c>
      <c r="AJ277" s="102" t="str">
        <f t="shared" si="418"/>
        <v>NV10143797</v>
      </c>
      <c r="AK277" s="102" t="str">
        <f>IF(OR(J277&lt;D277,J277&gt;F277),"",
IFERROR(INDEX('3. Đơn xin nghỉ'!$K:$K,MATCH('4. Tổng hợp dữ liệu'!AJ277,'3. Đơn xin nghỉ'!$I:$I,0),1),
IF(AND(AU277="Không CC",I277&lt;&gt;1),"Ro:8","")))</f>
        <v/>
      </c>
      <c r="AL277" s="102" t="str">
        <f t="shared" si="419"/>
        <v/>
      </c>
      <c r="AM277" s="102" t="str">
        <f t="shared" ref="AM277:AM286" si="450">IF(OR(AI277="",AK277=""),AI277&amp;AK277,AI277&amp;","&amp;AK277)&amp;AL277</f>
        <v>X:8</v>
      </c>
      <c r="AN277" s="102" t="s">
        <v>92</v>
      </c>
      <c r="AO277" s="102"/>
      <c r="AP277" s="115">
        <f>IFERROR(VLOOKUP(AN277,'Quy đổi công'!A:D,3,0),0)</f>
        <v>1</v>
      </c>
      <c r="AQ277" s="115">
        <f>IFERROR(VLOOKUP(AN277,'Quy đổi công'!A:D,4,0),0)</f>
        <v>0</v>
      </c>
      <c r="AR277" s="115">
        <f t="shared" si="420"/>
        <v>0</v>
      </c>
      <c r="AS277" s="115">
        <f t="shared" ref="AS277:AS286" si="451">AP277-AR277</f>
        <v>1</v>
      </c>
      <c r="AT277" s="115">
        <f t="shared" ref="AT277:AT286" si="452">IF(AN277="P8",1)
+IF(OR(AN277="X:4,P:4",AN277="P:4,Rv:4",AN277="P:4,Ro:4"),1/2)</f>
        <v>0</v>
      </c>
      <c r="AU277" s="102" t="str">
        <f t="shared" si="421"/>
        <v/>
      </c>
      <c r="AV277" s="102" t="str">
        <f t="shared" si="422"/>
        <v/>
      </c>
      <c r="AW277" s="102" t="str">
        <f t="shared" si="423"/>
        <v/>
      </c>
      <c r="AX277" s="102" t="str">
        <f t="shared" si="424"/>
        <v/>
      </c>
      <c r="AY277" s="102" t="str">
        <f t="shared" si="425"/>
        <v/>
      </c>
      <c r="AZ277" s="102"/>
      <c r="BA277" s="102">
        <f>IF(AV277&lt;&gt;0,COUNTIFS($A$7:A277,A277,$AV$7:AV277,"Quên check in"))
+IF(AW277&lt;&gt;0,COUNTIFS($A$7:A277,A277,$AW$7:AW277,"Quên check in"))
+IF(AX277&lt;&gt;0,COUNTIFS($A$7:A277,A277,$AX$7:AX277,"Quên check out"))
+IF(AY277&lt;&gt;0,COUNTIFS($A$7:A277,A277,$AY$7:AY277,"Quên check out"))</f>
        <v>0</v>
      </c>
      <c r="BB277" s="143">
        <f t="shared" si="426"/>
        <v>0</v>
      </c>
    </row>
    <row r="278" spans="1:54" s="83" customFormat="1" ht="14.1" customHeight="1" x14ac:dyDescent="0.3">
      <c r="A278" s="103" t="s">
        <v>5</v>
      </c>
      <c r="B278" s="104" t="s">
        <v>28</v>
      </c>
      <c r="C278" s="105">
        <v>10000000</v>
      </c>
      <c r="D278" s="106">
        <v>43409</v>
      </c>
      <c r="E278" s="107">
        <v>43678</v>
      </c>
      <c r="F278" s="107">
        <v>73415</v>
      </c>
      <c r="G278" s="105">
        <v>26</v>
      </c>
      <c r="H278" s="105">
        <f t="shared" si="440"/>
        <v>5</v>
      </c>
      <c r="I278" s="105"/>
      <c r="J278" s="108">
        <v>43797</v>
      </c>
      <c r="K278" s="108" t="str">
        <f t="shared" si="441"/>
        <v>NV10743797VàoSáng</v>
      </c>
      <c r="L278" s="102" t="str">
        <f>IFERROR(VLOOKUP(K278,'1. Vân tay'!$F:$G,2,0),0)</f>
        <v>07:52:00</v>
      </c>
      <c r="M278" s="108" t="str">
        <f t="shared" si="442"/>
        <v>NV10743797RaSáng</v>
      </c>
      <c r="N278" s="102">
        <f>IFERROR(VLOOKUP(M278,'1. Vân tay'!$F:$G,2,0),0)</f>
        <v>0</v>
      </c>
      <c r="O278" s="108" t="str">
        <f t="shared" si="443"/>
        <v>NV10743797VàoChiều</v>
      </c>
      <c r="P278" s="102">
        <f>IFERROR(VLOOKUP(O278,'1. Vân tay'!$F:$G,2,0),0)</f>
        <v>0</v>
      </c>
      <c r="Q278" s="108" t="str">
        <f t="shared" si="444"/>
        <v>NV10743797RaChiều</v>
      </c>
      <c r="R278" s="102" t="str">
        <f>IFERROR(VLOOKUP(Q278,'1. Vân tay'!$F:$G,2,0),0)</f>
        <v>17:37:06</v>
      </c>
      <c r="S278" s="102">
        <f t="shared" si="445"/>
        <v>0</v>
      </c>
      <c r="T278" s="109">
        <v>0.33333333333333331</v>
      </c>
      <c r="U278" s="109">
        <v>0.5</v>
      </c>
      <c r="V278" s="109">
        <v>0.5625</v>
      </c>
      <c r="W278" s="109">
        <v>0.72916666666666663</v>
      </c>
      <c r="X278" s="102">
        <f>HDSD!$F$4</f>
        <v>5</v>
      </c>
      <c r="Y278" s="102">
        <f>SUMIFS('2. Đi muộn về sớm'!$K:$K,
'2. Đi muộn về sớm'!$B:$B,$A278,
'2. Đi muộn về sớm'!$D:$D,$J278)</f>
        <v>0</v>
      </c>
      <c r="Z278" s="110">
        <f t="shared" si="446"/>
        <v>0</v>
      </c>
      <c r="AA278" s="110">
        <f t="shared" si="447"/>
        <v>0</v>
      </c>
      <c r="AB278" s="111">
        <f t="shared" si="448"/>
        <v>0</v>
      </c>
      <c r="AC278" s="112">
        <f t="shared" si="413"/>
        <v>0</v>
      </c>
      <c r="AD278" s="113">
        <f t="shared" si="414"/>
        <v>0</v>
      </c>
      <c r="AE278" s="111">
        <f t="shared" si="449"/>
        <v>0</v>
      </c>
      <c r="AF278" s="113">
        <f t="shared" si="415"/>
        <v>0</v>
      </c>
      <c r="AG278" s="113">
        <f t="shared" si="416"/>
        <v>0</v>
      </c>
      <c r="AH278" s="114">
        <f t="shared" si="347"/>
        <v>9.7516666666666669</v>
      </c>
      <c r="AI278" s="102" t="str">
        <f t="shared" si="417"/>
        <v>X:8</v>
      </c>
      <c r="AJ278" s="102" t="str">
        <f t="shared" si="418"/>
        <v>NV10743797</v>
      </c>
      <c r="AK278" s="102" t="str">
        <f>IF(OR(J278&lt;D278,J278&gt;F278),"",
IFERROR(INDEX('3. Đơn xin nghỉ'!$K:$K,MATCH('4. Tổng hợp dữ liệu'!AJ278,'3. Đơn xin nghỉ'!$I:$I,0),1),
IF(AND(AU278="Không CC",I278&lt;&gt;1),"Ro:8","")))</f>
        <v/>
      </c>
      <c r="AL278" s="102" t="str">
        <f t="shared" si="419"/>
        <v/>
      </c>
      <c r="AM278" s="102" t="str">
        <f t="shared" si="450"/>
        <v>X:8</v>
      </c>
      <c r="AN278" s="102" t="s">
        <v>92</v>
      </c>
      <c r="AO278" s="102"/>
      <c r="AP278" s="115">
        <f>IFERROR(VLOOKUP(AN278,'Quy đổi công'!A:D,3,0),0)</f>
        <v>1</v>
      </c>
      <c r="AQ278" s="115">
        <f>IFERROR(VLOOKUP(AN278,'Quy đổi công'!A:D,4,0),0)</f>
        <v>0</v>
      </c>
      <c r="AR278" s="115">
        <f t="shared" si="420"/>
        <v>0</v>
      </c>
      <c r="AS278" s="115">
        <f t="shared" si="451"/>
        <v>1</v>
      </c>
      <c r="AT278" s="115">
        <f t="shared" si="452"/>
        <v>0</v>
      </c>
      <c r="AU278" s="102" t="str">
        <f t="shared" si="421"/>
        <v/>
      </c>
      <c r="AV278" s="102" t="str">
        <f t="shared" si="422"/>
        <v/>
      </c>
      <c r="AW278" s="102" t="str">
        <f t="shared" si="423"/>
        <v/>
      </c>
      <c r="AX278" s="102" t="str">
        <f t="shared" si="424"/>
        <v/>
      </c>
      <c r="AY278" s="102" t="str">
        <f t="shared" si="425"/>
        <v/>
      </c>
      <c r="AZ278" s="102"/>
      <c r="BA278" s="102">
        <f>IF(AV278&lt;&gt;0,COUNTIFS($A$7:A278,A278,$AV$7:AV278,"Quên check in"))
+IF(AW278&lt;&gt;0,COUNTIFS($A$7:A278,A278,$AW$7:AW278,"Quên check in"))
+IF(AX278&lt;&gt;0,COUNTIFS($A$7:A278,A278,$AX$7:AX278,"Quên check out"))
+IF(AY278&lt;&gt;0,COUNTIFS($A$7:A278,A278,$AY$7:AY278,"Quên check out"))</f>
        <v>4</v>
      </c>
      <c r="BB278" s="143">
        <f t="shared" si="426"/>
        <v>50000</v>
      </c>
    </row>
    <row r="279" spans="1:54" s="83" customFormat="1" ht="14.1" customHeight="1" x14ac:dyDescent="0.3">
      <c r="A279" s="103" t="s">
        <v>6</v>
      </c>
      <c r="B279" s="104" t="s">
        <v>15</v>
      </c>
      <c r="C279" s="105">
        <v>4700000</v>
      </c>
      <c r="D279" s="106">
        <v>43409</v>
      </c>
      <c r="E279" s="107">
        <v>43617</v>
      </c>
      <c r="F279" s="107">
        <v>73415</v>
      </c>
      <c r="G279" s="105">
        <v>26</v>
      </c>
      <c r="H279" s="105">
        <f t="shared" si="440"/>
        <v>5</v>
      </c>
      <c r="I279" s="105"/>
      <c r="J279" s="108">
        <v>43797</v>
      </c>
      <c r="K279" s="108" t="str">
        <f t="shared" si="441"/>
        <v>NV10843797VàoSáng</v>
      </c>
      <c r="L279" s="102" t="str">
        <f>IFERROR(VLOOKUP(K279,'1. Vân tay'!$F:$G,2,0),0)</f>
        <v>07:59:46</v>
      </c>
      <c r="M279" s="108" t="str">
        <f t="shared" si="442"/>
        <v>NV10843797RaSáng</v>
      </c>
      <c r="N279" s="102">
        <f>IFERROR(VLOOKUP(M279,'1. Vân tay'!$F:$G,2,0),0)</f>
        <v>0</v>
      </c>
      <c r="O279" s="108" t="str">
        <f t="shared" si="443"/>
        <v>NV10843797VàoChiều</v>
      </c>
      <c r="P279" s="102">
        <f>IFERROR(VLOOKUP(O279,'1. Vân tay'!$F:$G,2,0),0)</f>
        <v>0</v>
      </c>
      <c r="Q279" s="108" t="str">
        <f t="shared" si="444"/>
        <v>NV10843797RaChiều</v>
      </c>
      <c r="R279" s="102" t="str">
        <f>IFERROR(VLOOKUP(Q279,'1. Vân tay'!$F:$G,2,0),0)</f>
        <v>17:43:45</v>
      </c>
      <c r="S279" s="102">
        <f t="shared" si="445"/>
        <v>0</v>
      </c>
      <c r="T279" s="109">
        <v>0.33333333333333331</v>
      </c>
      <c r="U279" s="109">
        <v>0.5</v>
      </c>
      <c r="V279" s="109">
        <v>0.5625</v>
      </c>
      <c r="W279" s="109">
        <v>0.72916666666666663</v>
      </c>
      <c r="X279" s="102">
        <f>HDSD!$F$4</f>
        <v>5</v>
      </c>
      <c r="Y279" s="102">
        <f>SUMIFS('2. Đi muộn về sớm'!$K:$K,
'2. Đi muộn về sớm'!$B:$B,$A279,
'2. Đi muộn về sớm'!$D:$D,$J279)</f>
        <v>0</v>
      </c>
      <c r="Z279" s="110">
        <f t="shared" si="446"/>
        <v>0</v>
      </c>
      <c r="AA279" s="110">
        <f t="shared" si="447"/>
        <v>0</v>
      </c>
      <c r="AB279" s="111">
        <f t="shared" si="448"/>
        <v>0</v>
      </c>
      <c r="AC279" s="112">
        <f t="shared" si="413"/>
        <v>0</v>
      </c>
      <c r="AD279" s="113">
        <f t="shared" si="414"/>
        <v>0</v>
      </c>
      <c r="AE279" s="111">
        <f t="shared" si="449"/>
        <v>0</v>
      </c>
      <c r="AF279" s="113">
        <f t="shared" si="415"/>
        <v>0</v>
      </c>
      <c r="AG279" s="113">
        <f t="shared" si="416"/>
        <v>0</v>
      </c>
      <c r="AH279" s="114">
        <f t="shared" si="347"/>
        <v>9.7330555555555556</v>
      </c>
      <c r="AI279" s="102" t="str">
        <f t="shared" si="417"/>
        <v>X:8</v>
      </c>
      <c r="AJ279" s="102" t="str">
        <f t="shared" si="418"/>
        <v>NV10843797</v>
      </c>
      <c r="AK279" s="102" t="str">
        <f>IF(OR(J279&lt;D279,J279&gt;F279),"",
IFERROR(INDEX('3. Đơn xin nghỉ'!$K:$K,MATCH('4. Tổng hợp dữ liệu'!AJ279,'3. Đơn xin nghỉ'!$I:$I,0),1),
IF(AND(AU279="Không CC",I279&lt;&gt;1),"Ro:8","")))</f>
        <v/>
      </c>
      <c r="AL279" s="102" t="str">
        <f t="shared" si="419"/>
        <v/>
      </c>
      <c r="AM279" s="102" t="str">
        <f t="shared" si="450"/>
        <v>X:8</v>
      </c>
      <c r="AN279" s="102" t="s">
        <v>92</v>
      </c>
      <c r="AO279" s="102"/>
      <c r="AP279" s="115">
        <f>IFERROR(VLOOKUP(AN279,'Quy đổi công'!A:D,3,0),0)</f>
        <v>1</v>
      </c>
      <c r="AQ279" s="115">
        <f>IFERROR(VLOOKUP(AN279,'Quy đổi công'!A:D,4,0),0)</f>
        <v>0</v>
      </c>
      <c r="AR279" s="115">
        <f t="shared" si="420"/>
        <v>0</v>
      </c>
      <c r="AS279" s="115">
        <f t="shared" si="451"/>
        <v>1</v>
      </c>
      <c r="AT279" s="115">
        <f t="shared" si="452"/>
        <v>0</v>
      </c>
      <c r="AU279" s="102" t="str">
        <f t="shared" si="421"/>
        <v/>
      </c>
      <c r="AV279" s="102" t="str">
        <f t="shared" si="422"/>
        <v/>
      </c>
      <c r="AW279" s="102" t="str">
        <f t="shared" si="423"/>
        <v/>
      </c>
      <c r="AX279" s="102" t="str">
        <f t="shared" si="424"/>
        <v/>
      </c>
      <c r="AY279" s="102" t="str">
        <f t="shared" si="425"/>
        <v/>
      </c>
      <c r="AZ279" s="102"/>
      <c r="BA279" s="102">
        <f>IF(AV279&lt;&gt;0,COUNTIFS($A$7:A279,A279,$AV$7:AV279,"Quên check in"))
+IF(AW279&lt;&gt;0,COUNTIFS($A$7:A279,A279,$AW$7:AW279,"Quên check in"))
+IF(AX279&lt;&gt;0,COUNTIFS($A$7:A279,A279,$AX$7:AX279,"Quên check out"))
+IF(AY279&lt;&gt;0,COUNTIFS($A$7:A279,A279,$AY$7:AY279,"Quên check out"))</f>
        <v>0</v>
      </c>
      <c r="BB279" s="143">
        <f t="shared" si="426"/>
        <v>0</v>
      </c>
    </row>
    <row r="280" spans="1:54" s="83" customFormat="1" ht="14.1" customHeight="1" x14ac:dyDescent="0.3">
      <c r="A280" s="103" t="s">
        <v>7</v>
      </c>
      <c r="B280" s="104" t="s">
        <v>16</v>
      </c>
      <c r="C280" s="105">
        <v>5000000</v>
      </c>
      <c r="D280" s="106">
        <v>43416</v>
      </c>
      <c r="E280" s="107">
        <v>43617</v>
      </c>
      <c r="F280" s="107">
        <v>73415</v>
      </c>
      <c r="G280" s="105">
        <v>26</v>
      </c>
      <c r="H280" s="105">
        <f t="shared" si="440"/>
        <v>5</v>
      </c>
      <c r="I280" s="105"/>
      <c r="J280" s="108">
        <v>43797</v>
      </c>
      <c r="K280" s="108" t="str">
        <f t="shared" si="441"/>
        <v>NV10943797VàoSáng</v>
      </c>
      <c r="L280" s="102" t="str">
        <f>IFERROR(VLOOKUP(K280,'1. Vân tay'!$F:$G,2,0),0)</f>
        <v>07:50:02</v>
      </c>
      <c r="M280" s="108" t="str">
        <f t="shared" si="442"/>
        <v>NV10943797RaSáng</v>
      </c>
      <c r="N280" s="102">
        <f>IFERROR(VLOOKUP(M280,'1. Vân tay'!$F:$G,2,0),0)</f>
        <v>0</v>
      </c>
      <c r="O280" s="108" t="str">
        <f t="shared" si="443"/>
        <v>NV10943797VàoChiều</v>
      </c>
      <c r="P280" s="102">
        <f>IFERROR(VLOOKUP(O280,'1. Vân tay'!$F:$G,2,0),0)</f>
        <v>0</v>
      </c>
      <c r="Q280" s="108" t="str">
        <f t="shared" si="444"/>
        <v>NV10943797RaChiều</v>
      </c>
      <c r="R280" s="102" t="str">
        <f>IFERROR(VLOOKUP(Q280,'1. Vân tay'!$F:$G,2,0),0)</f>
        <v>17:30:44</v>
      </c>
      <c r="S280" s="102">
        <f t="shared" si="445"/>
        <v>0</v>
      </c>
      <c r="T280" s="109">
        <v>0.33333333333333331</v>
      </c>
      <c r="U280" s="109">
        <v>0.5</v>
      </c>
      <c r="V280" s="109">
        <v>0.5625</v>
      </c>
      <c r="W280" s="109">
        <v>0.72916666666666663</v>
      </c>
      <c r="X280" s="102">
        <f>HDSD!$F$4</f>
        <v>5</v>
      </c>
      <c r="Y280" s="102">
        <f>SUMIFS('2. Đi muộn về sớm'!$K:$K,
'2. Đi muộn về sớm'!$B:$B,$A280,
'2. Đi muộn về sớm'!$D:$D,$J280)</f>
        <v>0</v>
      </c>
      <c r="Z280" s="110">
        <f t="shared" si="446"/>
        <v>0</v>
      </c>
      <c r="AA280" s="110">
        <f t="shared" si="447"/>
        <v>0</v>
      </c>
      <c r="AB280" s="111">
        <f t="shared" si="448"/>
        <v>0</v>
      </c>
      <c r="AC280" s="112">
        <f t="shared" si="413"/>
        <v>0</v>
      </c>
      <c r="AD280" s="113">
        <f t="shared" si="414"/>
        <v>0</v>
      </c>
      <c r="AE280" s="111">
        <f t="shared" si="449"/>
        <v>0</v>
      </c>
      <c r="AF280" s="113">
        <f t="shared" si="415"/>
        <v>0</v>
      </c>
      <c r="AG280" s="113">
        <f t="shared" si="416"/>
        <v>0</v>
      </c>
      <c r="AH280" s="114">
        <f t="shared" si="347"/>
        <v>9.6783333333333328</v>
      </c>
      <c r="AI280" s="102" t="str">
        <f t="shared" si="417"/>
        <v>X:8</v>
      </c>
      <c r="AJ280" s="102" t="str">
        <f t="shared" si="418"/>
        <v>NV10943797</v>
      </c>
      <c r="AK280" s="102" t="str">
        <f>IF(OR(J280&lt;D280,J280&gt;F280),"",
IFERROR(INDEX('3. Đơn xin nghỉ'!$K:$K,MATCH('4. Tổng hợp dữ liệu'!AJ280,'3. Đơn xin nghỉ'!$I:$I,0),1),
IF(AND(AU280="Không CC",I280&lt;&gt;1),"Ro:8","")))</f>
        <v/>
      </c>
      <c r="AL280" s="102" t="str">
        <f t="shared" si="419"/>
        <v/>
      </c>
      <c r="AM280" s="102" t="str">
        <f t="shared" si="450"/>
        <v>X:8</v>
      </c>
      <c r="AN280" s="102" t="s">
        <v>92</v>
      </c>
      <c r="AO280" s="102"/>
      <c r="AP280" s="115">
        <f>IFERROR(VLOOKUP(AN280,'Quy đổi công'!A:D,3,0),0)</f>
        <v>1</v>
      </c>
      <c r="AQ280" s="115">
        <f>IFERROR(VLOOKUP(AN280,'Quy đổi công'!A:D,4,0),0)</f>
        <v>0</v>
      </c>
      <c r="AR280" s="115">
        <f t="shared" si="420"/>
        <v>0</v>
      </c>
      <c r="AS280" s="115">
        <f t="shared" si="451"/>
        <v>1</v>
      </c>
      <c r="AT280" s="115">
        <f t="shared" si="452"/>
        <v>0</v>
      </c>
      <c r="AU280" s="102" t="str">
        <f t="shared" si="421"/>
        <v/>
      </c>
      <c r="AV280" s="102" t="str">
        <f t="shared" si="422"/>
        <v/>
      </c>
      <c r="AW280" s="102" t="str">
        <f t="shared" si="423"/>
        <v/>
      </c>
      <c r="AX280" s="102" t="str">
        <f t="shared" si="424"/>
        <v/>
      </c>
      <c r="AY280" s="102" t="str">
        <f t="shared" si="425"/>
        <v/>
      </c>
      <c r="AZ280" s="102"/>
      <c r="BA280" s="102">
        <f>IF(AV280&lt;&gt;0,COUNTIFS($A$7:A280,A280,$AV$7:AV280,"Quên check in"))
+IF(AW280&lt;&gt;0,COUNTIFS($A$7:A280,A280,$AW$7:AW280,"Quên check in"))
+IF(AX280&lt;&gt;0,COUNTIFS($A$7:A280,A280,$AX$7:AX280,"Quên check out"))
+IF(AY280&lt;&gt;0,COUNTIFS($A$7:A280,A280,$AY$7:AY280,"Quên check out"))</f>
        <v>0</v>
      </c>
      <c r="BB280" s="143">
        <f t="shared" si="426"/>
        <v>0</v>
      </c>
    </row>
    <row r="281" spans="1:54" s="83" customFormat="1" ht="14.1" customHeight="1" x14ac:dyDescent="0.3">
      <c r="A281" s="103" t="s">
        <v>8</v>
      </c>
      <c r="B281" s="104" t="s">
        <v>17</v>
      </c>
      <c r="C281" s="105">
        <v>5000000</v>
      </c>
      <c r="D281" s="106">
        <v>43423</v>
      </c>
      <c r="E281" s="107">
        <v>43617</v>
      </c>
      <c r="F281" s="107">
        <v>73415</v>
      </c>
      <c r="G281" s="105">
        <v>26</v>
      </c>
      <c r="H281" s="105">
        <f t="shared" si="440"/>
        <v>5</v>
      </c>
      <c r="I281" s="105"/>
      <c r="J281" s="108">
        <v>43797</v>
      </c>
      <c r="K281" s="108" t="str">
        <f t="shared" si="441"/>
        <v>NV11343797VàoSáng</v>
      </c>
      <c r="L281" s="102" t="str">
        <f>IFERROR(VLOOKUP(K281,'1. Vân tay'!$F:$G,2,0),0)</f>
        <v>07:40:04</v>
      </c>
      <c r="M281" s="108" t="str">
        <f t="shared" si="442"/>
        <v>NV11343797RaSáng</v>
      </c>
      <c r="N281" s="102">
        <f>IFERROR(VLOOKUP(M281,'1. Vân tay'!$F:$G,2,0),0)</f>
        <v>0</v>
      </c>
      <c r="O281" s="108" t="str">
        <f t="shared" si="443"/>
        <v>NV11343797VàoChiều</v>
      </c>
      <c r="P281" s="102">
        <f>IFERROR(VLOOKUP(O281,'1. Vân tay'!$F:$G,2,0),0)</f>
        <v>0</v>
      </c>
      <c r="Q281" s="108" t="str">
        <f t="shared" si="444"/>
        <v>NV11343797RaChiều</v>
      </c>
      <c r="R281" s="102" t="str">
        <f>IFERROR(VLOOKUP(Q281,'1. Vân tay'!$F:$G,2,0),0)</f>
        <v>17:38:15</v>
      </c>
      <c r="S281" s="102">
        <f t="shared" si="445"/>
        <v>0</v>
      </c>
      <c r="T281" s="109">
        <v>0.33333333333333331</v>
      </c>
      <c r="U281" s="109">
        <v>0.5</v>
      </c>
      <c r="V281" s="109">
        <v>0.5625</v>
      </c>
      <c r="W281" s="109">
        <v>0.72916666666666663</v>
      </c>
      <c r="X281" s="102">
        <f>HDSD!$F$4</f>
        <v>5</v>
      </c>
      <c r="Y281" s="102">
        <f>SUMIFS('2. Đi muộn về sớm'!$K:$K,
'2. Đi muộn về sớm'!$B:$B,$A281,
'2. Đi muộn về sớm'!$D:$D,$J281)</f>
        <v>0</v>
      </c>
      <c r="Z281" s="110">
        <f t="shared" si="446"/>
        <v>0</v>
      </c>
      <c r="AA281" s="110">
        <f t="shared" si="447"/>
        <v>0</v>
      </c>
      <c r="AB281" s="111">
        <f t="shared" si="448"/>
        <v>0</v>
      </c>
      <c r="AC281" s="112">
        <f t="shared" si="413"/>
        <v>0</v>
      </c>
      <c r="AD281" s="113">
        <f t="shared" si="414"/>
        <v>0</v>
      </c>
      <c r="AE281" s="111">
        <f t="shared" si="449"/>
        <v>0</v>
      </c>
      <c r="AF281" s="113">
        <f t="shared" si="415"/>
        <v>0</v>
      </c>
      <c r="AG281" s="113">
        <f t="shared" si="416"/>
        <v>0</v>
      </c>
      <c r="AH281" s="114">
        <f t="shared" ref="AH281:AH306" si="453">IF(AND(AV281="Quên check in",AZ281="Đồng ý"),IFERROR(HOUR(N281-T281+R281-P281)+MINUTE(N281-T281+R281-P281)/60+SECOND(N281-T281+R281-P281)/3600,0),
IF(AND(AW281="Quên check in",AZ281="Đồng ý"),IFERROR(HOUR(N281-L281+R281-V281)+MINUTE(N281-L281+R281-V281)/60+SECOND(N281-L281+R281-V281)/3600,0),
IF(AND(AX281="Quên check out",AZ281="Đồng ý"),IFERROR(HOUR(U281-L281+R281-P281)+MINUTE(U281-L281+R281-P281)/60+SECOND(U281-L281+R281-P281)/3600,0),
IF(AND(AY281="Quên check out",AZ281="Đồng ý"),IFERROR(HOUR(N281-L281+W281-P281)+MINUTE(N281-L281+W281-P281)/60+SECOND(N281-L281+W281-P281)/3600,0),
IF(AND(LEN(AV281&amp;AW281&amp;AX281&amp;AY281)&gt;0,LEN(AV281&amp;AW281&amp;AX281&amp;AY281)&lt;15),4,
IF(LEN(AV281&amp;AW281&amp;AX281&amp;AY281)&gt;15,0,
IFERROR(HOUR(N281-L281+R281-P281)+MINUTE(N281-L281+R281-P281)/60+SECOND(N281-L281+R281-P281)/3600,0)))))))</f>
        <v>9.9697222222222219</v>
      </c>
      <c r="AI281" s="102" t="str">
        <f t="shared" si="417"/>
        <v>X:8</v>
      </c>
      <c r="AJ281" s="102" t="str">
        <f t="shared" si="418"/>
        <v>NV11343797</v>
      </c>
      <c r="AK281" s="102" t="str">
        <f>IF(OR(J281&lt;D281,J281&gt;F281),"",
IFERROR(INDEX('3. Đơn xin nghỉ'!$K:$K,MATCH('4. Tổng hợp dữ liệu'!AJ281,'3. Đơn xin nghỉ'!$I:$I,0),1),
IF(AND(AU281="Không CC",I281&lt;&gt;1),"Ro:8","")))</f>
        <v/>
      </c>
      <c r="AL281" s="102" t="str">
        <f t="shared" si="419"/>
        <v/>
      </c>
      <c r="AM281" s="102" t="str">
        <f t="shared" si="450"/>
        <v>X:8</v>
      </c>
      <c r="AN281" s="102" t="s">
        <v>92</v>
      </c>
      <c r="AO281" s="102"/>
      <c r="AP281" s="115">
        <f>IFERROR(VLOOKUP(AN281,'Quy đổi công'!A:D,3,0),0)</f>
        <v>1</v>
      </c>
      <c r="AQ281" s="115">
        <f>IFERROR(VLOOKUP(AN281,'Quy đổi công'!A:D,4,0),0)</f>
        <v>0</v>
      </c>
      <c r="AR281" s="115">
        <f t="shared" si="420"/>
        <v>0</v>
      </c>
      <c r="AS281" s="115">
        <f t="shared" si="451"/>
        <v>1</v>
      </c>
      <c r="AT281" s="115">
        <f t="shared" si="452"/>
        <v>0</v>
      </c>
      <c r="AU281" s="102" t="str">
        <f t="shared" si="421"/>
        <v/>
      </c>
      <c r="AV281" s="102" t="str">
        <f t="shared" si="422"/>
        <v/>
      </c>
      <c r="AW281" s="102" t="str">
        <f t="shared" si="423"/>
        <v/>
      </c>
      <c r="AX281" s="102" t="str">
        <f t="shared" si="424"/>
        <v/>
      </c>
      <c r="AY281" s="102" t="str">
        <f t="shared" si="425"/>
        <v/>
      </c>
      <c r="AZ281" s="102"/>
      <c r="BA281" s="102">
        <f>IF(AV281&lt;&gt;0,COUNTIFS($A$7:A281,A281,$AV$7:AV281,"Quên check in"))
+IF(AW281&lt;&gt;0,COUNTIFS($A$7:A281,A281,$AW$7:AW281,"Quên check in"))
+IF(AX281&lt;&gt;0,COUNTIFS($A$7:A281,A281,$AX$7:AX281,"Quên check out"))
+IF(AY281&lt;&gt;0,COUNTIFS($A$7:A281,A281,$AY$7:AY281,"Quên check out"))</f>
        <v>1</v>
      </c>
      <c r="BB281" s="143">
        <f t="shared" si="426"/>
        <v>0</v>
      </c>
    </row>
    <row r="282" spans="1:54" s="83" customFormat="1" ht="14.1" customHeight="1" x14ac:dyDescent="0.3">
      <c r="A282" s="103" t="s">
        <v>9</v>
      </c>
      <c r="B282" s="104" t="s">
        <v>18</v>
      </c>
      <c r="C282" s="105">
        <v>4900000</v>
      </c>
      <c r="D282" s="106">
        <v>43437</v>
      </c>
      <c r="E282" s="107">
        <v>43617</v>
      </c>
      <c r="F282" s="107">
        <v>73415</v>
      </c>
      <c r="G282" s="105">
        <v>26</v>
      </c>
      <c r="H282" s="105">
        <f t="shared" si="440"/>
        <v>5</v>
      </c>
      <c r="I282" s="105"/>
      <c r="J282" s="108">
        <v>43797</v>
      </c>
      <c r="K282" s="108" t="str">
        <f t="shared" si="441"/>
        <v>NV11443797VàoSáng</v>
      </c>
      <c r="L282" s="102">
        <f>IFERROR(VLOOKUP(K282,'1. Vân tay'!$F:$G,2,0),0)</f>
        <v>0</v>
      </c>
      <c r="M282" s="108" t="str">
        <f t="shared" si="442"/>
        <v>NV11443797RaSáng</v>
      </c>
      <c r="N282" s="102">
        <f>IFERROR(VLOOKUP(M282,'1. Vân tay'!$F:$G,2,0),0)</f>
        <v>0</v>
      </c>
      <c r="O282" s="108" t="str">
        <f t="shared" si="443"/>
        <v>NV11443797VàoChiều</v>
      </c>
      <c r="P282" s="102">
        <f>IFERROR(VLOOKUP(O282,'1. Vân tay'!$F:$G,2,0),0)</f>
        <v>0</v>
      </c>
      <c r="Q282" s="108" t="str">
        <f t="shared" si="444"/>
        <v>NV11443797RaChiều</v>
      </c>
      <c r="R282" s="102" t="str">
        <f>IFERROR(VLOOKUP(Q282,'1. Vân tay'!$F:$G,2,0),0)</f>
        <v>17:35:34</v>
      </c>
      <c r="S282" s="102">
        <f t="shared" si="445"/>
        <v>0</v>
      </c>
      <c r="T282" s="109">
        <v>0.33333333333333331</v>
      </c>
      <c r="U282" s="109">
        <v>0.5</v>
      </c>
      <c r="V282" s="109">
        <v>0.5625</v>
      </c>
      <c r="W282" s="109">
        <v>0.72916666666666663</v>
      </c>
      <c r="X282" s="102">
        <f>HDSD!$F$4</f>
        <v>5</v>
      </c>
      <c r="Y282" s="102">
        <f>SUMIFS('2. Đi muộn về sớm'!$K:$K,
'2. Đi muộn về sớm'!$B:$B,$A282,
'2. Đi muộn về sớm'!$D:$D,$J282)</f>
        <v>0</v>
      </c>
      <c r="Z282" s="110">
        <f t="shared" si="446"/>
        <v>0</v>
      </c>
      <c r="AA282" s="110">
        <f t="shared" si="447"/>
        <v>0</v>
      </c>
      <c r="AB282" s="111">
        <f t="shared" si="448"/>
        <v>0</v>
      </c>
      <c r="AC282" s="112">
        <f t="shared" si="413"/>
        <v>0</v>
      </c>
      <c r="AD282" s="113">
        <f t="shared" si="414"/>
        <v>0</v>
      </c>
      <c r="AE282" s="111">
        <f t="shared" si="449"/>
        <v>0</v>
      </c>
      <c r="AF282" s="113">
        <f t="shared" si="415"/>
        <v>0</v>
      </c>
      <c r="AG282" s="113">
        <f t="shared" si="416"/>
        <v>0</v>
      </c>
      <c r="AH282" s="114">
        <f t="shared" si="453"/>
        <v>4.0927777777777772</v>
      </c>
      <c r="AI282" s="102" t="str">
        <f t="shared" si="417"/>
        <v>X:4</v>
      </c>
      <c r="AJ282" s="102" t="str">
        <f t="shared" si="418"/>
        <v>NV11443797</v>
      </c>
      <c r="AK282" s="102" t="str">
        <f>IF(OR(J282&lt;D282,J282&gt;F282),"",
IFERROR(INDEX('3. Đơn xin nghỉ'!$K:$K,MATCH('4. Tổng hợp dữ liệu'!AJ282,'3. Đơn xin nghỉ'!$I:$I,0),1),
IF(AND(AU282="Không CC",I282&lt;&gt;1),"Ro:8","")))</f>
        <v/>
      </c>
      <c r="AL282" s="102" t="str">
        <f t="shared" si="419"/>
        <v/>
      </c>
      <c r="AM282" s="102" t="str">
        <f t="shared" si="450"/>
        <v>X:4</v>
      </c>
      <c r="AN282" s="102" t="s">
        <v>92</v>
      </c>
      <c r="AO282" s="102" t="s">
        <v>280</v>
      </c>
      <c r="AP282" s="115">
        <f>IFERROR(VLOOKUP(AN282,'Quy đổi công'!A:D,3,0),0)</f>
        <v>1</v>
      </c>
      <c r="AQ282" s="115">
        <f>IFERROR(VLOOKUP(AN282,'Quy đổi công'!A:D,4,0),0)</f>
        <v>0</v>
      </c>
      <c r="AR282" s="115">
        <f t="shared" si="420"/>
        <v>0</v>
      </c>
      <c r="AS282" s="115">
        <f t="shared" si="451"/>
        <v>1</v>
      </c>
      <c r="AT282" s="115">
        <f t="shared" si="452"/>
        <v>0</v>
      </c>
      <c r="AU282" s="102" t="str">
        <f t="shared" si="421"/>
        <v/>
      </c>
      <c r="AV282" s="102" t="str">
        <f t="shared" si="422"/>
        <v/>
      </c>
      <c r="AW282" s="102" t="str">
        <f t="shared" si="423"/>
        <v>Quên check in</v>
      </c>
      <c r="AX282" s="102" t="str">
        <f t="shared" si="424"/>
        <v/>
      </c>
      <c r="AY282" s="102" t="str">
        <f t="shared" si="425"/>
        <v/>
      </c>
      <c r="AZ282" s="102" t="s">
        <v>230</v>
      </c>
      <c r="BA282" s="102">
        <f>IF(AV282&lt;&gt;0,COUNTIFS($A$7:A282,A282,$AV$7:AV282,"Quên check in"))
+IF(AW282&lt;&gt;0,COUNTIFS($A$7:A282,A282,$AW$7:AW282,"Quên check in"))
+IF(AX282&lt;&gt;0,COUNTIFS($A$7:A282,A282,$AX$7:AX282,"Quên check out"))
+IF(AY282&lt;&gt;0,COUNTIFS($A$7:A282,A282,$AY$7:AY282,"Quên check out"))</f>
        <v>2</v>
      </c>
      <c r="BB282" s="143">
        <f t="shared" si="426"/>
        <v>0</v>
      </c>
    </row>
    <row r="283" spans="1:54" s="83" customFormat="1" ht="14.1" customHeight="1" x14ac:dyDescent="0.3">
      <c r="A283" s="103" t="s">
        <v>10</v>
      </c>
      <c r="B283" s="104" t="s">
        <v>19</v>
      </c>
      <c r="C283" s="105">
        <v>5000000</v>
      </c>
      <c r="D283" s="106">
        <v>43445</v>
      </c>
      <c r="E283" s="107">
        <v>43647</v>
      </c>
      <c r="F283" s="107">
        <v>73415</v>
      </c>
      <c r="G283" s="105">
        <v>26</v>
      </c>
      <c r="H283" s="105">
        <f t="shared" si="440"/>
        <v>5</v>
      </c>
      <c r="I283" s="105"/>
      <c r="J283" s="108">
        <v>43797</v>
      </c>
      <c r="K283" s="108" t="str">
        <f t="shared" si="441"/>
        <v>NV11843797VàoSáng</v>
      </c>
      <c r="L283" s="102" t="str">
        <f>IFERROR(VLOOKUP(K283,'1. Vân tay'!$F:$G,2,0),0)</f>
        <v>08:02:59</v>
      </c>
      <c r="M283" s="108" t="str">
        <f t="shared" si="442"/>
        <v>NV11843797RaSáng</v>
      </c>
      <c r="N283" s="102">
        <f>IFERROR(VLOOKUP(M283,'1. Vân tay'!$F:$G,2,0),0)</f>
        <v>0</v>
      </c>
      <c r="O283" s="108" t="str">
        <f t="shared" si="443"/>
        <v>NV11843797VàoChiều</v>
      </c>
      <c r="P283" s="102">
        <f>IFERROR(VLOOKUP(O283,'1. Vân tay'!$F:$G,2,0),0)</f>
        <v>0</v>
      </c>
      <c r="Q283" s="108" t="str">
        <f t="shared" si="444"/>
        <v>NV11843797RaChiều</v>
      </c>
      <c r="R283" s="102" t="str">
        <f>IFERROR(VLOOKUP(Q283,'1. Vân tay'!$F:$G,2,0),0)</f>
        <v>17:57:59</v>
      </c>
      <c r="S283" s="102">
        <f t="shared" si="445"/>
        <v>0</v>
      </c>
      <c r="T283" s="109">
        <v>0.33333333333333331</v>
      </c>
      <c r="U283" s="109">
        <v>0.5</v>
      </c>
      <c r="V283" s="109">
        <v>0.5625</v>
      </c>
      <c r="W283" s="109">
        <v>0.72916666666666663</v>
      </c>
      <c r="X283" s="102">
        <f>HDSD!$F$4</f>
        <v>5</v>
      </c>
      <c r="Y283" s="102">
        <f>SUMIFS('2. Đi muộn về sớm'!$K:$K,
'2. Đi muộn về sớm'!$B:$B,$A283,
'2. Đi muộn về sớm'!$D:$D,$J283)</f>
        <v>0</v>
      </c>
      <c r="Z283" s="110">
        <f t="shared" si="446"/>
        <v>2.9833333333333334</v>
      </c>
      <c r="AA283" s="110">
        <f t="shared" si="447"/>
        <v>0</v>
      </c>
      <c r="AB283" s="111">
        <f t="shared" si="448"/>
        <v>2.9833333333333334</v>
      </c>
      <c r="AC283" s="112">
        <f t="shared" si="413"/>
        <v>0</v>
      </c>
      <c r="AD283" s="113">
        <f t="shared" si="414"/>
        <v>0</v>
      </c>
      <c r="AE283" s="111">
        <f t="shared" si="449"/>
        <v>0</v>
      </c>
      <c r="AF283" s="113">
        <f t="shared" si="415"/>
        <v>0</v>
      </c>
      <c r="AG283" s="113">
        <f t="shared" si="416"/>
        <v>0</v>
      </c>
      <c r="AH283" s="114">
        <f t="shared" si="453"/>
        <v>9.9166666666666661</v>
      </c>
      <c r="AI283" s="102" t="str">
        <f t="shared" si="417"/>
        <v>X:8</v>
      </c>
      <c r="AJ283" s="102" t="str">
        <f t="shared" si="418"/>
        <v>NV11843797</v>
      </c>
      <c r="AK283" s="102" t="str">
        <f>IF(OR(J283&lt;D283,J283&gt;F283),"",
IFERROR(INDEX('3. Đơn xin nghỉ'!$K:$K,MATCH('4. Tổng hợp dữ liệu'!AJ283,'3. Đơn xin nghỉ'!$I:$I,0),1),
IF(AND(AU283="Không CC",I283&lt;&gt;1),"Ro:8","")))</f>
        <v/>
      </c>
      <c r="AL283" s="102" t="str">
        <f t="shared" si="419"/>
        <v/>
      </c>
      <c r="AM283" s="102" t="str">
        <f t="shared" si="450"/>
        <v>X:8</v>
      </c>
      <c r="AN283" s="102" t="s">
        <v>92</v>
      </c>
      <c r="AO283" s="102"/>
      <c r="AP283" s="115">
        <f>IFERROR(VLOOKUP(AN283,'Quy đổi công'!A:D,3,0),0)</f>
        <v>1</v>
      </c>
      <c r="AQ283" s="115">
        <f>IFERROR(VLOOKUP(AN283,'Quy đổi công'!A:D,4,0),0)</f>
        <v>0</v>
      </c>
      <c r="AR283" s="115">
        <f t="shared" si="420"/>
        <v>0</v>
      </c>
      <c r="AS283" s="115">
        <f t="shared" si="451"/>
        <v>1</v>
      </c>
      <c r="AT283" s="115">
        <f t="shared" si="452"/>
        <v>0</v>
      </c>
      <c r="AU283" s="102" t="str">
        <f t="shared" si="421"/>
        <v/>
      </c>
      <c r="AV283" s="102" t="str">
        <f t="shared" si="422"/>
        <v/>
      </c>
      <c r="AW283" s="102" t="str">
        <f t="shared" si="423"/>
        <v/>
      </c>
      <c r="AX283" s="102" t="str">
        <f t="shared" si="424"/>
        <v/>
      </c>
      <c r="AY283" s="102" t="str">
        <f t="shared" si="425"/>
        <v/>
      </c>
      <c r="AZ283" s="102"/>
      <c r="BA283" s="102">
        <f>IF(AV283&lt;&gt;0,COUNTIFS($A$7:A283,A283,$AV$7:AV283,"Quên check in"))
+IF(AW283&lt;&gt;0,COUNTIFS($A$7:A283,A283,$AW$7:AW283,"Quên check in"))
+IF(AX283&lt;&gt;0,COUNTIFS($A$7:A283,A283,$AX$7:AX283,"Quên check out"))
+IF(AY283&lt;&gt;0,COUNTIFS($A$7:A283,A283,$AY$7:AY283,"Quên check out"))</f>
        <v>1</v>
      </c>
      <c r="BB283" s="143">
        <f t="shared" si="426"/>
        <v>0</v>
      </c>
    </row>
    <row r="284" spans="1:54" s="83" customFormat="1" ht="14.1" customHeight="1" x14ac:dyDescent="0.3">
      <c r="A284" s="103" t="s">
        <v>11</v>
      </c>
      <c r="B284" s="104" t="s">
        <v>20</v>
      </c>
      <c r="C284" s="105">
        <v>4700000</v>
      </c>
      <c r="D284" s="106">
        <v>43467</v>
      </c>
      <c r="E284" s="107">
        <v>43617</v>
      </c>
      <c r="F284" s="107">
        <v>73415</v>
      </c>
      <c r="G284" s="105">
        <v>26</v>
      </c>
      <c r="H284" s="105">
        <f t="shared" si="440"/>
        <v>5</v>
      </c>
      <c r="I284" s="105"/>
      <c r="J284" s="108">
        <v>43797</v>
      </c>
      <c r="K284" s="108" t="str">
        <f t="shared" si="441"/>
        <v>NV12243797VàoSáng</v>
      </c>
      <c r="L284" s="102" t="str">
        <f>IFERROR(VLOOKUP(K284,'1. Vân tay'!$F:$G,2,0),0)</f>
        <v>08:01:05</v>
      </c>
      <c r="M284" s="108" t="str">
        <f t="shared" si="442"/>
        <v>NV12243797RaSáng</v>
      </c>
      <c r="N284" s="102">
        <f>IFERROR(VLOOKUP(M284,'1. Vân tay'!$F:$G,2,0),0)</f>
        <v>0</v>
      </c>
      <c r="O284" s="108" t="str">
        <f t="shared" si="443"/>
        <v>NV12243797VàoChiều</v>
      </c>
      <c r="P284" s="102">
        <f>IFERROR(VLOOKUP(O284,'1. Vân tay'!$F:$G,2,0),0)</f>
        <v>0</v>
      </c>
      <c r="Q284" s="108" t="str">
        <f t="shared" si="444"/>
        <v>NV12243797RaChiều</v>
      </c>
      <c r="R284" s="102" t="str">
        <f>IFERROR(VLOOKUP(Q284,'1. Vân tay'!$F:$G,2,0),0)</f>
        <v>17:36:55</v>
      </c>
      <c r="S284" s="102">
        <f t="shared" si="445"/>
        <v>0</v>
      </c>
      <c r="T284" s="109">
        <v>0.33333333333333331</v>
      </c>
      <c r="U284" s="109">
        <v>0.5</v>
      </c>
      <c r="V284" s="109">
        <v>0.5625</v>
      </c>
      <c r="W284" s="109">
        <v>0.72916666666666663</v>
      </c>
      <c r="X284" s="102">
        <f>HDSD!$F$4</f>
        <v>5</v>
      </c>
      <c r="Y284" s="102">
        <f>SUMIFS('2. Đi muộn về sớm'!$K:$K,
'2. Đi muộn về sớm'!$B:$B,$A284,
'2. Đi muộn về sớm'!$D:$D,$J284)</f>
        <v>0</v>
      </c>
      <c r="Z284" s="110">
        <f t="shared" si="446"/>
        <v>1.0833333333333333</v>
      </c>
      <c r="AA284" s="110">
        <f t="shared" si="447"/>
        <v>0</v>
      </c>
      <c r="AB284" s="111">
        <f t="shared" si="448"/>
        <v>1.0833333333333333</v>
      </c>
      <c r="AC284" s="112">
        <f t="shared" si="413"/>
        <v>0</v>
      </c>
      <c r="AD284" s="113">
        <f t="shared" si="414"/>
        <v>0</v>
      </c>
      <c r="AE284" s="111">
        <f t="shared" si="449"/>
        <v>0</v>
      </c>
      <c r="AF284" s="113">
        <f t="shared" si="415"/>
        <v>0</v>
      </c>
      <c r="AG284" s="113">
        <f t="shared" si="416"/>
        <v>0</v>
      </c>
      <c r="AH284" s="114">
        <f t="shared" si="453"/>
        <v>9.5972222222222232</v>
      </c>
      <c r="AI284" s="102" t="str">
        <f t="shared" si="417"/>
        <v>X:8</v>
      </c>
      <c r="AJ284" s="102" t="str">
        <f t="shared" si="418"/>
        <v>NV12243797</v>
      </c>
      <c r="AK284" s="102" t="str">
        <f>IF(OR(J284&lt;D284,J284&gt;F284),"",
IFERROR(INDEX('3. Đơn xin nghỉ'!$K:$K,MATCH('4. Tổng hợp dữ liệu'!AJ284,'3. Đơn xin nghỉ'!$I:$I,0),1),
IF(AND(AU284="Không CC",I284&lt;&gt;1),"Ro:8","")))</f>
        <v/>
      </c>
      <c r="AL284" s="102" t="str">
        <f t="shared" si="419"/>
        <v/>
      </c>
      <c r="AM284" s="102" t="str">
        <f t="shared" si="450"/>
        <v>X:8</v>
      </c>
      <c r="AN284" s="102" t="s">
        <v>92</v>
      </c>
      <c r="AO284" s="102"/>
      <c r="AP284" s="115">
        <f>IFERROR(VLOOKUP(AN284,'Quy đổi công'!A:D,3,0),0)</f>
        <v>1</v>
      </c>
      <c r="AQ284" s="115">
        <f>IFERROR(VLOOKUP(AN284,'Quy đổi công'!A:D,4,0),0)</f>
        <v>0</v>
      </c>
      <c r="AR284" s="115">
        <f t="shared" si="420"/>
        <v>0</v>
      </c>
      <c r="AS284" s="115">
        <f t="shared" si="451"/>
        <v>1</v>
      </c>
      <c r="AT284" s="115">
        <f t="shared" si="452"/>
        <v>0</v>
      </c>
      <c r="AU284" s="102" t="str">
        <f t="shared" si="421"/>
        <v/>
      </c>
      <c r="AV284" s="102" t="str">
        <f t="shared" si="422"/>
        <v/>
      </c>
      <c r="AW284" s="102" t="str">
        <f t="shared" si="423"/>
        <v/>
      </c>
      <c r="AX284" s="102" t="str">
        <f t="shared" si="424"/>
        <v/>
      </c>
      <c r="AY284" s="102" t="str">
        <f t="shared" si="425"/>
        <v/>
      </c>
      <c r="AZ284" s="102"/>
      <c r="BA284" s="102">
        <f>IF(AV284&lt;&gt;0,COUNTIFS($A$7:A284,A284,$AV$7:AV284,"Quên check in"))
+IF(AW284&lt;&gt;0,COUNTIFS($A$7:A284,A284,$AW$7:AW284,"Quên check in"))
+IF(AX284&lt;&gt;0,COUNTIFS($A$7:A284,A284,$AX$7:AX284,"Quên check out"))
+IF(AY284&lt;&gt;0,COUNTIFS($A$7:A284,A284,$AY$7:AY284,"Quên check out"))</f>
        <v>1</v>
      </c>
      <c r="BB284" s="143">
        <f t="shared" si="426"/>
        <v>0</v>
      </c>
    </row>
    <row r="285" spans="1:54" s="83" customFormat="1" ht="14.1" customHeight="1" x14ac:dyDescent="0.3">
      <c r="A285" s="103" t="s">
        <v>12</v>
      </c>
      <c r="B285" s="104" t="s">
        <v>21</v>
      </c>
      <c r="C285" s="105">
        <v>5000000</v>
      </c>
      <c r="D285" s="106">
        <v>43482</v>
      </c>
      <c r="E285" s="107">
        <v>43647</v>
      </c>
      <c r="F285" s="107">
        <v>73415</v>
      </c>
      <c r="G285" s="105">
        <v>26</v>
      </c>
      <c r="H285" s="105">
        <f t="shared" si="440"/>
        <v>5</v>
      </c>
      <c r="I285" s="105"/>
      <c r="J285" s="108">
        <v>43797</v>
      </c>
      <c r="K285" s="108" t="str">
        <f t="shared" si="441"/>
        <v>NV12343797VàoSáng</v>
      </c>
      <c r="L285" s="102" t="str">
        <f>IFERROR(VLOOKUP(K285,'1. Vân tay'!$F:$G,2,0),0)</f>
        <v>07:50:12</v>
      </c>
      <c r="M285" s="108" t="str">
        <f t="shared" si="442"/>
        <v>NV12343797RaSáng</v>
      </c>
      <c r="N285" s="102">
        <f>IFERROR(VLOOKUP(M285,'1. Vân tay'!$F:$G,2,0),0)</f>
        <v>0</v>
      </c>
      <c r="O285" s="108" t="str">
        <f t="shared" si="443"/>
        <v>NV12343797VàoChiều</v>
      </c>
      <c r="P285" s="102">
        <f>IFERROR(VLOOKUP(O285,'1. Vân tay'!$F:$G,2,0),0)</f>
        <v>0</v>
      </c>
      <c r="Q285" s="108" t="str">
        <f t="shared" si="444"/>
        <v>NV12343797RaChiều</v>
      </c>
      <c r="R285" s="102" t="str">
        <f>IFERROR(VLOOKUP(Q285,'1. Vân tay'!$F:$G,2,0),0)</f>
        <v>17:30:36</v>
      </c>
      <c r="S285" s="102">
        <f t="shared" si="445"/>
        <v>0</v>
      </c>
      <c r="T285" s="109">
        <v>0.33333333333333331</v>
      </c>
      <c r="U285" s="109">
        <v>0.5</v>
      </c>
      <c r="V285" s="109">
        <v>0.5625</v>
      </c>
      <c r="W285" s="109">
        <v>0.72916666666666663</v>
      </c>
      <c r="X285" s="102">
        <f>HDSD!$F$4</f>
        <v>5</v>
      </c>
      <c r="Y285" s="102">
        <f>SUMIFS('2. Đi muộn về sớm'!$K:$K,
'2. Đi muộn về sớm'!$B:$B,$A285,
'2. Đi muộn về sớm'!$D:$D,$J285)</f>
        <v>0</v>
      </c>
      <c r="Z285" s="110">
        <f t="shared" si="446"/>
        <v>0</v>
      </c>
      <c r="AA285" s="110">
        <f t="shared" si="447"/>
        <v>0</v>
      </c>
      <c r="AB285" s="111">
        <f t="shared" si="448"/>
        <v>0</v>
      </c>
      <c r="AC285" s="112">
        <f t="shared" si="413"/>
        <v>0</v>
      </c>
      <c r="AD285" s="113">
        <f t="shared" si="414"/>
        <v>0</v>
      </c>
      <c r="AE285" s="111">
        <f t="shared" si="449"/>
        <v>0</v>
      </c>
      <c r="AF285" s="113">
        <f t="shared" si="415"/>
        <v>0</v>
      </c>
      <c r="AG285" s="113">
        <f t="shared" si="416"/>
        <v>0</v>
      </c>
      <c r="AH285" s="114">
        <f t="shared" si="453"/>
        <v>9.673333333333332</v>
      </c>
      <c r="AI285" s="102" t="str">
        <f t="shared" si="417"/>
        <v>X:8</v>
      </c>
      <c r="AJ285" s="102" t="str">
        <f t="shared" si="418"/>
        <v>NV12343797</v>
      </c>
      <c r="AK285" s="102" t="str">
        <f>IF(OR(J285&lt;D285,J285&gt;F285),"",
IFERROR(INDEX('3. Đơn xin nghỉ'!$K:$K,MATCH('4. Tổng hợp dữ liệu'!AJ285,'3. Đơn xin nghỉ'!$I:$I,0),1),
IF(AND(AU285="Không CC",I285&lt;&gt;1),"Ro:8","")))</f>
        <v/>
      </c>
      <c r="AL285" s="102" t="str">
        <f t="shared" si="419"/>
        <v/>
      </c>
      <c r="AM285" s="102" t="str">
        <f t="shared" si="450"/>
        <v>X:8</v>
      </c>
      <c r="AN285" s="102" t="s">
        <v>92</v>
      </c>
      <c r="AO285" s="102"/>
      <c r="AP285" s="115">
        <f>IFERROR(VLOOKUP(AN285,'Quy đổi công'!A:D,3,0),0)</f>
        <v>1</v>
      </c>
      <c r="AQ285" s="115">
        <f>IFERROR(VLOOKUP(AN285,'Quy đổi công'!A:D,4,0),0)</f>
        <v>0</v>
      </c>
      <c r="AR285" s="115">
        <f t="shared" si="420"/>
        <v>0</v>
      </c>
      <c r="AS285" s="115">
        <f t="shared" si="451"/>
        <v>1</v>
      </c>
      <c r="AT285" s="115">
        <f t="shared" si="452"/>
        <v>0</v>
      </c>
      <c r="AU285" s="102" t="str">
        <f t="shared" si="421"/>
        <v/>
      </c>
      <c r="AV285" s="102" t="str">
        <f t="shared" si="422"/>
        <v/>
      </c>
      <c r="AW285" s="102" t="str">
        <f t="shared" si="423"/>
        <v/>
      </c>
      <c r="AX285" s="102" t="str">
        <f t="shared" si="424"/>
        <v/>
      </c>
      <c r="AY285" s="102" t="str">
        <f t="shared" si="425"/>
        <v/>
      </c>
      <c r="AZ285" s="102"/>
      <c r="BA285" s="102">
        <f>IF(AV285&lt;&gt;0,COUNTIFS($A$7:A285,A285,$AV$7:AV285,"Quên check in"))
+IF(AW285&lt;&gt;0,COUNTIFS($A$7:A285,A285,$AW$7:AW285,"Quên check in"))
+IF(AX285&lt;&gt;0,COUNTIFS($A$7:A285,A285,$AX$7:AX285,"Quên check out"))
+IF(AY285&lt;&gt;0,COUNTIFS($A$7:A285,A285,$AY$7:AY285,"Quên check out"))</f>
        <v>1</v>
      </c>
      <c r="BB285" s="143">
        <f t="shared" si="426"/>
        <v>0</v>
      </c>
    </row>
    <row r="286" spans="1:54" s="83" customFormat="1" ht="14.1" customHeight="1" x14ac:dyDescent="0.3">
      <c r="A286" s="103" t="s">
        <v>13</v>
      </c>
      <c r="B286" s="104" t="s">
        <v>22</v>
      </c>
      <c r="C286" s="105">
        <v>4700000</v>
      </c>
      <c r="D286" s="106">
        <v>43531</v>
      </c>
      <c r="E286" s="107">
        <v>43647</v>
      </c>
      <c r="F286" s="107">
        <v>73415</v>
      </c>
      <c r="G286" s="105">
        <v>26</v>
      </c>
      <c r="H286" s="105">
        <f t="shared" si="440"/>
        <v>5</v>
      </c>
      <c r="I286" s="105"/>
      <c r="J286" s="108">
        <v>43797</v>
      </c>
      <c r="K286" s="108" t="str">
        <f t="shared" si="441"/>
        <v>NV12643797VàoSáng</v>
      </c>
      <c r="L286" s="102" t="str">
        <f>IFERROR(VLOOKUP(K286,'1. Vân tay'!$F:$G,2,0),0)</f>
        <v>08:00:17</v>
      </c>
      <c r="M286" s="108" t="str">
        <f t="shared" si="442"/>
        <v>NV12643797RaSáng</v>
      </c>
      <c r="N286" s="102">
        <f>IFERROR(VLOOKUP(M286,'1. Vân tay'!$F:$G,2,0),0)</f>
        <v>0</v>
      </c>
      <c r="O286" s="108" t="str">
        <f t="shared" si="443"/>
        <v>NV12643797VàoChiều</v>
      </c>
      <c r="P286" s="102">
        <f>IFERROR(VLOOKUP(O286,'1. Vân tay'!$F:$G,2,0),0)</f>
        <v>0</v>
      </c>
      <c r="Q286" s="108" t="str">
        <f t="shared" si="444"/>
        <v>NV12643797RaChiều</v>
      </c>
      <c r="R286" s="102" t="str">
        <f>IFERROR(VLOOKUP(Q286,'1. Vân tay'!$F:$G,2,0),0)</f>
        <v>17:37:21</v>
      </c>
      <c r="S286" s="102">
        <f t="shared" si="445"/>
        <v>0</v>
      </c>
      <c r="T286" s="109">
        <v>0.33333333333333331</v>
      </c>
      <c r="U286" s="109">
        <v>0.5</v>
      </c>
      <c r="V286" s="109">
        <v>0.5625</v>
      </c>
      <c r="W286" s="109">
        <v>0.72916666666666663</v>
      </c>
      <c r="X286" s="102">
        <f>HDSD!$F$4</f>
        <v>5</v>
      </c>
      <c r="Y286" s="102">
        <f>SUMIFS('2. Đi muộn về sớm'!$K:$K,
'2. Đi muộn về sớm'!$B:$B,$A286,
'2. Đi muộn về sớm'!$D:$D,$J286)</f>
        <v>0</v>
      </c>
      <c r="Z286" s="110">
        <f t="shared" si="446"/>
        <v>0.28333333333333333</v>
      </c>
      <c r="AA286" s="110">
        <f t="shared" si="447"/>
        <v>0</v>
      </c>
      <c r="AB286" s="111">
        <f t="shared" si="448"/>
        <v>0.28333333333333333</v>
      </c>
      <c r="AC286" s="112">
        <f t="shared" si="413"/>
        <v>0</v>
      </c>
      <c r="AD286" s="113">
        <f t="shared" si="414"/>
        <v>0</v>
      </c>
      <c r="AE286" s="111">
        <f t="shared" si="449"/>
        <v>0</v>
      </c>
      <c r="AF286" s="113">
        <f t="shared" si="415"/>
        <v>0</v>
      </c>
      <c r="AG286" s="113">
        <f t="shared" si="416"/>
        <v>0</v>
      </c>
      <c r="AH286" s="114">
        <f t="shared" si="453"/>
        <v>9.6177777777777784</v>
      </c>
      <c r="AI286" s="102" t="str">
        <f t="shared" si="417"/>
        <v>X:8</v>
      </c>
      <c r="AJ286" s="102" t="str">
        <f t="shared" si="418"/>
        <v>NV12643797</v>
      </c>
      <c r="AK286" s="102" t="str">
        <f>IF(OR(J286&lt;D286,J286&gt;F286),"",
IFERROR(INDEX('3. Đơn xin nghỉ'!$K:$K,MATCH('4. Tổng hợp dữ liệu'!AJ286,'3. Đơn xin nghỉ'!$I:$I,0),1),
IF(AND(AU286="Không CC",I286&lt;&gt;1),"Ro:8","")))</f>
        <v/>
      </c>
      <c r="AL286" s="102" t="str">
        <f t="shared" si="419"/>
        <v/>
      </c>
      <c r="AM286" s="102" t="str">
        <f t="shared" si="450"/>
        <v>X:8</v>
      </c>
      <c r="AN286" s="102" t="s">
        <v>92</v>
      </c>
      <c r="AO286" s="102"/>
      <c r="AP286" s="115">
        <f>IFERROR(VLOOKUP(AN286,'Quy đổi công'!A:D,3,0),0)</f>
        <v>1</v>
      </c>
      <c r="AQ286" s="115">
        <f>IFERROR(VLOOKUP(AN286,'Quy đổi công'!A:D,4,0),0)</f>
        <v>0</v>
      </c>
      <c r="AR286" s="115">
        <f t="shared" si="420"/>
        <v>0</v>
      </c>
      <c r="AS286" s="115">
        <f t="shared" si="451"/>
        <v>1</v>
      </c>
      <c r="AT286" s="115">
        <f t="shared" si="452"/>
        <v>0</v>
      </c>
      <c r="AU286" s="102" t="str">
        <f t="shared" si="421"/>
        <v/>
      </c>
      <c r="AV286" s="102" t="str">
        <f t="shared" si="422"/>
        <v/>
      </c>
      <c r="AW286" s="102" t="str">
        <f t="shared" si="423"/>
        <v/>
      </c>
      <c r="AX286" s="102" t="str">
        <f t="shared" si="424"/>
        <v/>
      </c>
      <c r="AY286" s="102" t="str">
        <f t="shared" si="425"/>
        <v/>
      </c>
      <c r="AZ286" s="102"/>
      <c r="BA286" s="102">
        <f>IF(AV286&lt;&gt;0,COUNTIFS($A$7:A286,A286,$AV$7:AV286,"Quên check in"))
+IF(AW286&lt;&gt;0,COUNTIFS($A$7:A286,A286,$AW$7:AW286,"Quên check in"))
+IF(AX286&lt;&gt;0,COUNTIFS($A$7:A286,A286,$AX$7:AX286,"Quên check out"))
+IF(AY286&lt;&gt;0,COUNTIFS($A$7:A286,A286,$AY$7:AY286,"Quên check out"))</f>
        <v>0</v>
      </c>
      <c r="BB286" s="143">
        <f t="shared" si="426"/>
        <v>0</v>
      </c>
    </row>
    <row r="287" spans="1:54" s="83" customFormat="1" ht="14.1" customHeight="1" x14ac:dyDescent="0.3">
      <c r="A287" s="103" t="s">
        <v>4</v>
      </c>
      <c r="B287" s="104" t="s">
        <v>14</v>
      </c>
      <c r="C287" s="105">
        <v>4700000</v>
      </c>
      <c r="D287" s="106">
        <v>43388</v>
      </c>
      <c r="E287" s="107">
        <v>43525</v>
      </c>
      <c r="F287" s="107">
        <v>73415</v>
      </c>
      <c r="G287" s="105">
        <v>26</v>
      </c>
      <c r="H287" s="105">
        <f t="shared" ref="H287:H296" si="454">WEEKDAY(J287,1)</f>
        <v>6</v>
      </c>
      <c r="I287" s="105"/>
      <c r="J287" s="108">
        <v>43798</v>
      </c>
      <c r="K287" s="108" t="str">
        <f t="shared" ref="K287:K296" si="455">$A287&amp;$J287&amp;"Vào"&amp;"Sáng"</f>
        <v>NV10143798VàoSáng</v>
      </c>
      <c r="L287" s="102" t="str">
        <f>IFERROR(VLOOKUP(K287,'1. Vân tay'!$F:$G,2,0),0)</f>
        <v>08:01:23</v>
      </c>
      <c r="M287" s="108" t="str">
        <f t="shared" ref="M287:M296" si="456">$A287&amp;$J287&amp;"Ra"&amp;"Sáng"</f>
        <v>NV10143798RaSáng</v>
      </c>
      <c r="N287" s="102">
        <f>IFERROR(VLOOKUP(M287,'1. Vân tay'!$F:$G,2,0),0)</f>
        <v>0</v>
      </c>
      <c r="O287" s="108" t="str">
        <f t="shared" ref="O287:O296" si="457">$A287&amp;$J287&amp;"Vào"&amp;"Chiều"</f>
        <v>NV10143798VàoChiều</v>
      </c>
      <c r="P287" s="102">
        <f>IFERROR(VLOOKUP(O287,'1. Vân tay'!$F:$G,2,0),0)</f>
        <v>0</v>
      </c>
      <c r="Q287" s="108" t="str">
        <f t="shared" ref="Q287:Q296" si="458">$A287&amp;$J287&amp;"Ra"&amp;"Chiều"</f>
        <v>NV10143798RaChiều</v>
      </c>
      <c r="R287" s="102" t="str">
        <f>IFERROR(VLOOKUP(Q287,'1. Vân tay'!$F:$G,2,0),0)</f>
        <v>17:29:19</v>
      </c>
      <c r="S287" s="102">
        <f t="shared" ref="S287:S296" si="459">IF(OR(
(AND(L287&lt;&gt;0,P287&lt;&gt;0)),
(AND(N287&lt;&gt;0,R287&lt;&gt;0))),"Kiểm tra",0)</f>
        <v>0</v>
      </c>
      <c r="T287" s="109">
        <v>0.33333333333333331</v>
      </c>
      <c r="U287" s="109">
        <v>0.5</v>
      </c>
      <c r="V287" s="109">
        <v>0.5625</v>
      </c>
      <c r="W287" s="109">
        <v>0.72916666666666663</v>
      </c>
      <c r="X287" s="102">
        <f>HDSD!$F$4</f>
        <v>5</v>
      </c>
      <c r="Y287" s="102">
        <f>SUMIFS('2. Đi muộn về sớm'!$K:$K,
'2. Đi muộn về sớm'!$B:$B,$A287,
'2. Đi muộn về sớm'!$D:$D,$J287)</f>
        <v>0</v>
      </c>
      <c r="Z287" s="110">
        <f t="shared" ref="Z287:Z296" si="460">IF(L287=0,0,IFERROR((HOUR(L287-T287)*60+MINUTE(L287-T287)+SECOND(L287-T287)/60),0))
+IF(N287=0,0, IFERROR((HOUR(U287-N287)*60+MINUTE(U287-N287)+SECOND(U287-N287)/60),0))
+IF(P287=0,0, IFERROR((HOUR(P287-V287)*60+MINUTE(P287-V287)+SECOND(P287-V287)/60),0))
+IF(R287=0,0, IFERROR((HOUR(W287-R287)*60+MINUTE(W287-R287)+SECOND(W287-R287)/60),0))</f>
        <v>2.0666666666666664</v>
      </c>
      <c r="AA287" s="110">
        <f t="shared" ref="AA287:AA296" si="461">IF(L287=0,0,IFERROR((HOUR(L287-"09:00:00")*60+MINUTE(L287-"09:00:00")+SECOND(L287-"09:00:00")/60),0))
+IF(N287=0,0, IFERROR((HOUR(U287-N287)*60+MINUTE(U287-N287)+SECOND(U287-N287)/60),0))
+IF(P287=0,0, IFERROR((HOUR(P287-V287)*60+MINUTE(P287-V287)+SECOND(P287-V287)/60),0))
+IF(R287=0,0, IFERROR((HOUR("16:30:00"-R287)*60+MINUTE("16:30:00"-R287)+SECOND("16:30:00"-R287)/60),0))</f>
        <v>0</v>
      </c>
      <c r="AB287" s="111">
        <f t="shared" ref="AB287:AB296" si="462">Z287-AA287</f>
        <v>2.0666666666666664</v>
      </c>
      <c r="AC287" s="112">
        <f t="shared" si="413"/>
        <v>0</v>
      </c>
      <c r="AD287" s="113">
        <f t="shared" si="414"/>
        <v>0</v>
      </c>
      <c r="AE287" s="111">
        <f t="shared" ref="AE287:AE296" si="463">AA287/60/8</f>
        <v>0</v>
      </c>
      <c r="AF287" s="113">
        <f t="shared" si="415"/>
        <v>0</v>
      </c>
      <c r="AG287" s="113">
        <f t="shared" si="416"/>
        <v>0</v>
      </c>
      <c r="AH287" s="114">
        <f t="shared" si="453"/>
        <v>9.4655555555555555</v>
      </c>
      <c r="AI287" s="102" t="str">
        <f t="shared" si="417"/>
        <v>X:8</v>
      </c>
      <c r="AJ287" s="102" t="str">
        <f t="shared" si="418"/>
        <v>NV10143798</v>
      </c>
      <c r="AK287" s="102" t="str">
        <f>IF(OR(J287&lt;D287,J287&gt;F287),"",
IFERROR(INDEX('3. Đơn xin nghỉ'!$K:$K,MATCH('4. Tổng hợp dữ liệu'!AJ287,'3. Đơn xin nghỉ'!$I:$I,0),1),
IF(AND(AU287="Không CC",I287&lt;&gt;1),"Ro:8","")))</f>
        <v/>
      </c>
      <c r="AL287" s="102" t="str">
        <f t="shared" si="419"/>
        <v/>
      </c>
      <c r="AM287" s="102" t="str">
        <f t="shared" ref="AM287:AM296" si="464">IF(OR(AI287="",AK287=""),AI287&amp;AK287,AI287&amp;","&amp;AK287)&amp;AL287</f>
        <v>X:8</v>
      </c>
      <c r="AN287" s="102" t="s">
        <v>92</v>
      </c>
      <c r="AO287" s="102"/>
      <c r="AP287" s="115">
        <f>IFERROR(VLOOKUP(AN287,'Quy đổi công'!A:D,3,0),0)</f>
        <v>1</v>
      </c>
      <c r="AQ287" s="115">
        <f>IFERROR(VLOOKUP(AN287,'Quy đổi công'!A:D,4,0),0)</f>
        <v>0</v>
      </c>
      <c r="AR287" s="115">
        <f t="shared" si="420"/>
        <v>0</v>
      </c>
      <c r="AS287" s="115">
        <f t="shared" ref="AS287:AS296" si="465">AP287-AR287</f>
        <v>1</v>
      </c>
      <c r="AT287" s="115">
        <f t="shared" ref="AT287:AT296" si="466">IF(AN287="P8",1)
+IF(OR(AN287="X:4,P:4",AN287="P:4,Rv:4",AN287="P:4,Ro:4"),1/2)</f>
        <v>0</v>
      </c>
      <c r="AU287" s="102" t="str">
        <f t="shared" si="421"/>
        <v/>
      </c>
      <c r="AV287" s="102" t="str">
        <f t="shared" si="422"/>
        <v/>
      </c>
      <c r="AW287" s="102" t="str">
        <f t="shared" si="423"/>
        <v/>
      </c>
      <c r="AX287" s="102" t="str">
        <f t="shared" si="424"/>
        <v/>
      </c>
      <c r="AY287" s="102" t="str">
        <f t="shared" si="425"/>
        <v/>
      </c>
      <c r="AZ287" s="102"/>
      <c r="BA287" s="102">
        <f>IF(AV287&lt;&gt;0,COUNTIFS($A$7:A287,A287,$AV$7:AV287,"Quên check in"))
+IF(AW287&lt;&gt;0,COUNTIFS($A$7:A287,A287,$AW$7:AW287,"Quên check in"))
+IF(AX287&lt;&gt;0,COUNTIFS($A$7:A287,A287,$AX$7:AX287,"Quên check out"))
+IF(AY287&lt;&gt;0,COUNTIFS($A$7:A287,A287,$AY$7:AY287,"Quên check out"))</f>
        <v>0</v>
      </c>
      <c r="BB287" s="143">
        <f t="shared" si="426"/>
        <v>0</v>
      </c>
    </row>
    <row r="288" spans="1:54" s="83" customFormat="1" ht="14.1" customHeight="1" x14ac:dyDescent="0.3">
      <c r="A288" s="103" t="s">
        <v>5</v>
      </c>
      <c r="B288" s="104" t="s">
        <v>28</v>
      </c>
      <c r="C288" s="105">
        <v>10000000</v>
      </c>
      <c r="D288" s="106">
        <v>43409</v>
      </c>
      <c r="E288" s="107">
        <v>43678</v>
      </c>
      <c r="F288" s="107">
        <v>73415</v>
      </c>
      <c r="G288" s="105">
        <v>26</v>
      </c>
      <c r="H288" s="105">
        <f t="shared" si="454"/>
        <v>6</v>
      </c>
      <c r="I288" s="105"/>
      <c r="J288" s="108">
        <v>43798</v>
      </c>
      <c r="K288" s="108" t="str">
        <f t="shared" si="455"/>
        <v>NV10743798VàoSáng</v>
      </c>
      <c r="L288" s="102" t="str">
        <f>IFERROR(VLOOKUP(K288,'1. Vân tay'!$F:$G,2,0),0)</f>
        <v>08:03:53</v>
      </c>
      <c r="M288" s="108" t="str">
        <f t="shared" si="456"/>
        <v>NV10743798RaSáng</v>
      </c>
      <c r="N288" s="102">
        <f>IFERROR(VLOOKUP(M288,'1. Vân tay'!$F:$G,2,0),0)</f>
        <v>0</v>
      </c>
      <c r="O288" s="108" t="str">
        <f t="shared" si="457"/>
        <v>NV10743798VàoChiều</v>
      </c>
      <c r="P288" s="102">
        <f>IFERROR(VLOOKUP(O288,'1. Vân tay'!$F:$G,2,0),0)</f>
        <v>0</v>
      </c>
      <c r="Q288" s="108" t="str">
        <f t="shared" si="458"/>
        <v>NV10743798RaChiều</v>
      </c>
      <c r="R288" s="102">
        <f>IFERROR(VLOOKUP(Q288,'1. Vân tay'!$F:$G,2,0),0)</f>
        <v>0</v>
      </c>
      <c r="S288" s="102">
        <f t="shared" si="459"/>
        <v>0</v>
      </c>
      <c r="T288" s="109">
        <v>0.33333333333333331</v>
      </c>
      <c r="U288" s="109">
        <v>0.5</v>
      </c>
      <c r="V288" s="109">
        <v>0.5625</v>
      </c>
      <c r="W288" s="109">
        <v>0.72916666666666663</v>
      </c>
      <c r="X288" s="102">
        <f>HDSD!$F$4</f>
        <v>5</v>
      </c>
      <c r="Y288" s="102">
        <f>SUMIFS('2. Đi muộn về sớm'!$K:$K,
'2. Đi muộn về sớm'!$B:$B,$A288,
'2. Đi muộn về sớm'!$D:$D,$J288)</f>
        <v>0</v>
      </c>
      <c r="Z288" s="110">
        <f t="shared" si="460"/>
        <v>3.8833333333333333</v>
      </c>
      <c r="AA288" s="110">
        <f t="shared" si="461"/>
        <v>0</v>
      </c>
      <c r="AB288" s="111">
        <f t="shared" si="462"/>
        <v>3.8833333333333333</v>
      </c>
      <c r="AC288" s="112">
        <f t="shared" si="413"/>
        <v>0</v>
      </c>
      <c r="AD288" s="113">
        <f t="shared" si="414"/>
        <v>0</v>
      </c>
      <c r="AE288" s="111">
        <f t="shared" si="463"/>
        <v>0</v>
      </c>
      <c r="AF288" s="113">
        <f t="shared" si="415"/>
        <v>0</v>
      </c>
      <c r="AG288" s="113">
        <f t="shared" si="416"/>
        <v>0</v>
      </c>
      <c r="AH288" s="114">
        <f t="shared" si="453"/>
        <v>3.9352777777777779</v>
      </c>
      <c r="AI288" s="102" t="str">
        <f t="shared" si="417"/>
        <v>X:4</v>
      </c>
      <c r="AJ288" s="102" t="str">
        <f t="shared" si="418"/>
        <v>NV10743798</v>
      </c>
      <c r="AK288" s="102" t="str">
        <f>IF(OR(J288&lt;D288,J288&gt;F288),"",
IFERROR(INDEX('3. Đơn xin nghỉ'!$K:$K,MATCH('4. Tổng hợp dữ liệu'!AJ288,'3. Đơn xin nghỉ'!$I:$I,0),1),
IF(AND(AU288="Không CC",I288&lt;&gt;1),"Ro:8","")))</f>
        <v>P:4</v>
      </c>
      <c r="AL288" s="102" t="str">
        <f t="shared" si="419"/>
        <v/>
      </c>
      <c r="AM288" s="102" t="str">
        <f t="shared" si="464"/>
        <v>X:4,P:4</v>
      </c>
      <c r="AN288" s="102" t="s">
        <v>137</v>
      </c>
      <c r="AO288" s="102"/>
      <c r="AP288" s="115">
        <f>IFERROR(VLOOKUP(AN288,'Quy đổi công'!A:D,3,0),0)</f>
        <v>1</v>
      </c>
      <c r="AQ288" s="115">
        <f>IFERROR(VLOOKUP(AN288,'Quy đổi công'!A:D,4,0),0)</f>
        <v>0</v>
      </c>
      <c r="AR288" s="115">
        <f t="shared" si="420"/>
        <v>0</v>
      </c>
      <c r="AS288" s="115">
        <f t="shared" si="465"/>
        <v>1</v>
      </c>
      <c r="AT288" s="115">
        <f t="shared" si="466"/>
        <v>0.5</v>
      </c>
      <c r="AU288" s="102" t="str">
        <f t="shared" si="421"/>
        <v/>
      </c>
      <c r="AV288" s="102" t="str">
        <f t="shared" si="422"/>
        <v/>
      </c>
      <c r="AW288" s="102" t="str">
        <f t="shared" si="423"/>
        <v/>
      </c>
      <c r="AX288" s="102" t="str">
        <f t="shared" si="424"/>
        <v>Quên check out</v>
      </c>
      <c r="AY288" s="102" t="str">
        <f t="shared" si="425"/>
        <v/>
      </c>
      <c r="AZ288" s="102" t="s">
        <v>230</v>
      </c>
      <c r="BA288" s="102">
        <f>IF(AV288&lt;&gt;0,COUNTIFS($A$7:A288,A288,$AV$7:AV288,"Quên check in"))
+IF(AW288&lt;&gt;0,COUNTIFS($A$7:A288,A288,$AW$7:AW288,"Quên check in"))
+IF(AX288&lt;&gt;0,COUNTIFS($A$7:A288,A288,$AX$7:AX288,"Quên check out"))
+IF(AY288&lt;&gt;0,COUNTIFS($A$7:A288,A288,$AY$7:AY288,"Quên check out"))</f>
        <v>5</v>
      </c>
      <c r="BB288" s="143">
        <f t="shared" si="426"/>
        <v>50000</v>
      </c>
    </row>
    <row r="289" spans="1:54" s="83" customFormat="1" ht="14.1" customHeight="1" x14ac:dyDescent="0.3">
      <c r="A289" s="103" t="s">
        <v>6</v>
      </c>
      <c r="B289" s="104" t="s">
        <v>15</v>
      </c>
      <c r="C289" s="105">
        <v>4700000</v>
      </c>
      <c r="D289" s="106">
        <v>43409</v>
      </c>
      <c r="E289" s="107">
        <v>43617</v>
      </c>
      <c r="F289" s="107">
        <v>73415</v>
      </c>
      <c r="G289" s="105">
        <v>26</v>
      </c>
      <c r="H289" s="105">
        <f t="shared" si="454"/>
        <v>6</v>
      </c>
      <c r="I289" s="105"/>
      <c r="J289" s="108">
        <v>43798</v>
      </c>
      <c r="K289" s="108" t="str">
        <f t="shared" si="455"/>
        <v>NV10843798VàoSáng</v>
      </c>
      <c r="L289" s="102" t="str">
        <f>IFERROR(VLOOKUP(K289,'1. Vân tay'!$F:$G,2,0),0)</f>
        <v>08:12:31</v>
      </c>
      <c r="M289" s="108" t="str">
        <f t="shared" si="456"/>
        <v>NV10843798RaSáng</v>
      </c>
      <c r="N289" s="102">
        <f>IFERROR(VLOOKUP(M289,'1. Vân tay'!$F:$G,2,0),0)</f>
        <v>0</v>
      </c>
      <c r="O289" s="108" t="str">
        <f t="shared" si="457"/>
        <v>NV10843798VàoChiều</v>
      </c>
      <c r="P289" s="102">
        <f>IFERROR(VLOOKUP(O289,'1. Vân tay'!$F:$G,2,0),0)</f>
        <v>0</v>
      </c>
      <c r="Q289" s="108" t="str">
        <f t="shared" si="458"/>
        <v>NV10843798RaChiều</v>
      </c>
      <c r="R289" s="102" t="str">
        <f>IFERROR(VLOOKUP(Q289,'1. Vân tay'!$F:$G,2,0),0)</f>
        <v>17:40:58</v>
      </c>
      <c r="S289" s="102">
        <f t="shared" si="459"/>
        <v>0</v>
      </c>
      <c r="T289" s="109">
        <v>0.33333333333333331</v>
      </c>
      <c r="U289" s="109">
        <v>0.5</v>
      </c>
      <c r="V289" s="109">
        <v>0.5625</v>
      </c>
      <c r="W289" s="109">
        <v>0.72916666666666663</v>
      </c>
      <c r="X289" s="102">
        <f>HDSD!$F$4</f>
        <v>5</v>
      </c>
      <c r="Y289" s="102">
        <f>SUMIFS('2. Đi muộn về sớm'!$K:$K,
'2. Đi muộn về sớm'!$B:$B,$A289,
'2. Đi muộn về sớm'!$D:$D,$J289)</f>
        <v>0</v>
      </c>
      <c r="Z289" s="110">
        <f t="shared" si="460"/>
        <v>12.516666666666667</v>
      </c>
      <c r="AA289" s="110">
        <f t="shared" si="461"/>
        <v>0</v>
      </c>
      <c r="AB289" s="111">
        <f t="shared" si="462"/>
        <v>12.516666666666667</v>
      </c>
      <c r="AC289" s="112">
        <f t="shared" si="413"/>
        <v>7.5166666666666675</v>
      </c>
      <c r="AD289" s="113">
        <f t="shared" si="414"/>
        <v>15033.333333333336</v>
      </c>
      <c r="AE289" s="111">
        <f t="shared" si="463"/>
        <v>0</v>
      </c>
      <c r="AF289" s="113">
        <f t="shared" si="415"/>
        <v>0</v>
      </c>
      <c r="AG289" s="113">
        <f t="shared" si="416"/>
        <v>15033.333333333336</v>
      </c>
      <c r="AH289" s="114">
        <f t="shared" si="453"/>
        <v>9.4741666666666671</v>
      </c>
      <c r="AI289" s="102" t="str">
        <f t="shared" si="417"/>
        <v>X:8</v>
      </c>
      <c r="AJ289" s="102" t="str">
        <f t="shared" si="418"/>
        <v>NV10843798</v>
      </c>
      <c r="AK289" s="102" t="str">
        <f>IF(OR(J289&lt;D289,J289&gt;F289),"",
IFERROR(INDEX('3. Đơn xin nghỉ'!$K:$K,MATCH('4. Tổng hợp dữ liệu'!AJ289,'3. Đơn xin nghỉ'!$I:$I,0),1),
IF(AND(AU289="Không CC",I289&lt;&gt;1),"Ro:8","")))</f>
        <v/>
      </c>
      <c r="AL289" s="102" t="str">
        <f t="shared" si="419"/>
        <v/>
      </c>
      <c r="AM289" s="102" t="str">
        <f t="shared" si="464"/>
        <v>X:8</v>
      </c>
      <c r="AN289" s="102" t="s">
        <v>92</v>
      </c>
      <c r="AO289" s="102"/>
      <c r="AP289" s="115">
        <f>IFERROR(VLOOKUP(AN289,'Quy đổi công'!A:D,3,0),0)</f>
        <v>1</v>
      </c>
      <c r="AQ289" s="115">
        <f>IFERROR(VLOOKUP(AN289,'Quy đổi công'!A:D,4,0),0)</f>
        <v>0</v>
      </c>
      <c r="AR289" s="115">
        <f t="shared" si="420"/>
        <v>0</v>
      </c>
      <c r="AS289" s="115">
        <f t="shared" si="465"/>
        <v>1</v>
      </c>
      <c r="AT289" s="115">
        <f t="shared" si="466"/>
        <v>0</v>
      </c>
      <c r="AU289" s="102" t="str">
        <f t="shared" si="421"/>
        <v/>
      </c>
      <c r="AV289" s="102" t="str">
        <f t="shared" si="422"/>
        <v/>
      </c>
      <c r="AW289" s="102" t="str">
        <f t="shared" si="423"/>
        <v/>
      </c>
      <c r="AX289" s="102" t="str">
        <f t="shared" si="424"/>
        <v/>
      </c>
      <c r="AY289" s="102" t="str">
        <f t="shared" si="425"/>
        <v/>
      </c>
      <c r="AZ289" s="102"/>
      <c r="BA289" s="102">
        <f>IF(AV289&lt;&gt;0,COUNTIFS($A$7:A289,A289,$AV$7:AV289,"Quên check in"))
+IF(AW289&lt;&gt;0,COUNTIFS($A$7:A289,A289,$AW$7:AW289,"Quên check in"))
+IF(AX289&lt;&gt;0,COUNTIFS($A$7:A289,A289,$AX$7:AX289,"Quên check out"))
+IF(AY289&lt;&gt;0,COUNTIFS($A$7:A289,A289,$AY$7:AY289,"Quên check out"))</f>
        <v>0</v>
      </c>
      <c r="BB289" s="143">
        <f t="shared" si="426"/>
        <v>0</v>
      </c>
    </row>
    <row r="290" spans="1:54" s="83" customFormat="1" ht="14.1" customHeight="1" x14ac:dyDescent="0.3">
      <c r="A290" s="103" t="s">
        <v>7</v>
      </c>
      <c r="B290" s="104" t="s">
        <v>16</v>
      </c>
      <c r="C290" s="105">
        <v>5000000</v>
      </c>
      <c r="D290" s="106">
        <v>43416</v>
      </c>
      <c r="E290" s="107">
        <v>43617</v>
      </c>
      <c r="F290" s="107">
        <v>73415</v>
      </c>
      <c r="G290" s="105">
        <v>26</v>
      </c>
      <c r="H290" s="105">
        <f t="shared" si="454"/>
        <v>6</v>
      </c>
      <c r="I290" s="105"/>
      <c r="J290" s="108">
        <v>43798</v>
      </c>
      <c r="K290" s="108" t="str">
        <f t="shared" si="455"/>
        <v>NV10943798VàoSáng</v>
      </c>
      <c r="L290" s="102" t="str">
        <f>IFERROR(VLOOKUP(K290,'1. Vân tay'!$F:$G,2,0),0)</f>
        <v>07:49:30</v>
      </c>
      <c r="M290" s="108" t="str">
        <f t="shared" si="456"/>
        <v>NV10943798RaSáng</v>
      </c>
      <c r="N290" s="102">
        <f>IFERROR(VLOOKUP(M290,'1. Vân tay'!$F:$G,2,0),0)</f>
        <v>0</v>
      </c>
      <c r="O290" s="108" t="str">
        <f t="shared" si="457"/>
        <v>NV10943798VàoChiều</v>
      </c>
      <c r="P290" s="102">
        <f>IFERROR(VLOOKUP(O290,'1. Vân tay'!$F:$G,2,0),0)</f>
        <v>0</v>
      </c>
      <c r="Q290" s="108" t="str">
        <f t="shared" si="458"/>
        <v>NV10943798RaChiều</v>
      </c>
      <c r="R290" s="102" t="str">
        <f>IFERROR(VLOOKUP(Q290,'1. Vân tay'!$F:$G,2,0),0)</f>
        <v>17:35:27</v>
      </c>
      <c r="S290" s="102">
        <f t="shared" si="459"/>
        <v>0</v>
      </c>
      <c r="T290" s="109">
        <v>0.33333333333333331</v>
      </c>
      <c r="U290" s="109">
        <v>0.5</v>
      </c>
      <c r="V290" s="109">
        <v>0.5625</v>
      </c>
      <c r="W290" s="109">
        <v>0.72916666666666663</v>
      </c>
      <c r="X290" s="102">
        <f>HDSD!$F$4</f>
        <v>5</v>
      </c>
      <c r="Y290" s="102">
        <f>SUMIFS('2. Đi muộn về sớm'!$K:$K,
'2. Đi muộn về sớm'!$B:$B,$A290,
'2. Đi muộn về sớm'!$D:$D,$J290)</f>
        <v>0</v>
      </c>
      <c r="Z290" s="110">
        <f t="shared" si="460"/>
        <v>0</v>
      </c>
      <c r="AA290" s="110">
        <f t="shared" si="461"/>
        <v>0</v>
      </c>
      <c r="AB290" s="111">
        <f t="shared" si="462"/>
        <v>0</v>
      </c>
      <c r="AC290" s="112">
        <f t="shared" si="413"/>
        <v>0</v>
      </c>
      <c r="AD290" s="113">
        <f t="shared" si="414"/>
        <v>0</v>
      </c>
      <c r="AE290" s="111">
        <f t="shared" si="463"/>
        <v>0</v>
      </c>
      <c r="AF290" s="113">
        <f t="shared" si="415"/>
        <v>0</v>
      </c>
      <c r="AG290" s="113">
        <f t="shared" si="416"/>
        <v>0</v>
      </c>
      <c r="AH290" s="114">
        <f t="shared" si="453"/>
        <v>9.7658333333333331</v>
      </c>
      <c r="AI290" s="102" t="str">
        <f t="shared" si="417"/>
        <v>X:8</v>
      </c>
      <c r="AJ290" s="102" t="str">
        <f t="shared" si="418"/>
        <v>NV10943798</v>
      </c>
      <c r="AK290" s="102" t="str">
        <f>IF(OR(J290&lt;D290,J290&gt;F290),"",
IFERROR(INDEX('3. Đơn xin nghỉ'!$K:$K,MATCH('4. Tổng hợp dữ liệu'!AJ290,'3. Đơn xin nghỉ'!$I:$I,0),1),
IF(AND(AU290="Không CC",I290&lt;&gt;1),"Ro:8","")))</f>
        <v/>
      </c>
      <c r="AL290" s="102" t="str">
        <f t="shared" si="419"/>
        <v/>
      </c>
      <c r="AM290" s="102" t="str">
        <f t="shared" si="464"/>
        <v>X:8</v>
      </c>
      <c r="AN290" s="102" t="s">
        <v>92</v>
      </c>
      <c r="AO290" s="102"/>
      <c r="AP290" s="115">
        <f>IFERROR(VLOOKUP(AN290,'Quy đổi công'!A:D,3,0),0)</f>
        <v>1</v>
      </c>
      <c r="AQ290" s="115">
        <f>IFERROR(VLOOKUP(AN290,'Quy đổi công'!A:D,4,0),0)</f>
        <v>0</v>
      </c>
      <c r="AR290" s="115">
        <f t="shared" si="420"/>
        <v>0</v>
      </c>
      <c r="AS290" s="115">
        <f t="shared" si="465"/>
        <v>1</v>
      </c>
      <c r="AT290" s="115">
        <f t="shared" si="466"/>
        <v>0</v>
      </c>
      <c r="AU290" s="102" t="str">
        <f t="shared" si="421"/>
        <v/>
      </c>
      <c r="AV290" s="102" t="str">
        <f t="shared" si="422"/>
        <v/>
      </c>
      <c r="AW290" s="102" t="str">
        <f t="shared" si="423"/>
        <v/>
      </c>
      <c r="AX290" s="102" t="str">
        <f t="shared" si="424"/>
        <v/>
      </c>
      <c r="AY290" s="102" t="str">
        <f t="shared" si="425"/>
        <v/>
      </c>
      <c r="AZ290" s="102"/>
      <c r="BA290" s="102">
        <f>IF(AV290&lt;&gt;0,COUNTIFS($A$7:A290,A290,$AV$7:AV290,"Quên check in"))
+IF(AW290&lt;&gt;0,COUNTIFS($A$7:A290,A290,$AW$7:AW290,"Quên check in"))
+IF(AX290&lt;&gt;0,COUNTIFS($A$7:A290,A290,$AX$7:AX290,"Quên check out"))
+IF(AY290&lt;&gt;0,COUNTIFS($A$7:A290,A290,$AY$7:AY290,"Quên check out"))</f>
        <v>0</v>
      </c>
      <c r="BB290" s="143">
        <f t="shared" si="426"/>
        <v>0</v>
      </c>
    </row>
    <row r="291" spans="1:54" s="83" customFormat="1" ht="14.1" customHeight="1" x14ac:dyDescent="0.3">
      <c r="A291" s="103" t="s">
        <v>8</v>
      </c>
      <c r="B291" s="104" t="s">
        <v>17</v>
      </c>
      <c r="C291" s="105">
        <v>5000000</v>
      </c>
      <c r="D291" s="106">
        <v>43423</v>
      </c>
      <c r="E291" s="107">
        <v>43617</v>
      </c>
      <c r="F291" s="107">
        <v>73415</v>
      </c>
      <c r="G291" s="105">
        <v>26</v>
      </c>
      <c r="H291" s="105">
        <f t="shared" si="454"/>
        <v>6</v>
      </c>
      <c r="I291" s="105"/>
      <c r="J291" s="108">
        <v>43798</v>
      </c>
      <c r="K291" s="108" t="str">
        <f t="shared" si="455"/>
        <v>NV11343798VàoSáng</v>
      </c>
      <c r="L291" s="102" t="str">
        <f>IFERROR(VLOOKUP(K291,'1. Vân tay'!$F:$G,2,0),0)</f>
        <v>07:53:43</v>
      </c>
      <c r="M291" s="108" t="str">
        <f t="shared" si="456"/>
        <v>NV11343798RaSáng</v>
      </c>
      <c r="N291" s="102">
        <f>IFERROR(VLOOKUP(M291,'1. Vân tay'!$F:$G,2,0),0)</f>
        <v>0</v>
      </c>
      <c r="O291" s="108" t="str">
        <f t="shared" si="457"/>
        <v>NV11343798VàoChiều</v>
      </c>
      <c r="P291" s="102">
        <f>IFERROR(VLOOKUP(O291,'1. Vân tay'!$F:$G,2,0),0)</f>
        <v>0</v>
      </c>
      <c r="Q291" s="108" t="str">
        <f t="shared" si="458"/>
        <v>NV11343798RaChiều</v>
      </c>
      <c r="R291" s="102" t="str">
        <f>IFERROR(VLOOKUP(Q291,'1. Vân tay'!$F:$G,2,0),0)</f>
        <v>17:34:58</v>
      </c>
      <c r="S291" s="102">
        <f t="shared" si="459"/>
        <v>0</v>
      </c>
      <c r="T291" s="109">
        <v>0.33333333333333331</v>
      </c>
      <c r="U291" s="109">
        <v>0.5</v>
      </c>
      <c r="V291" s="109">
        <v>0.5625</v>
      </c>
      <c r="W291" s="109">
        <v>0.72916666666666663</v>
      </c>
      <c r="X291" s="102">
        <f>HDSD!$F$4</f>
        <v>5</v>
      </c>
      <c r="Y291" s="102">
        <f>SUMIFS('2. Đi muộn về sớm'!$K:$K,
'2. Đi muộn về sớm'!$B:$B,$A291,
'2. Đi muộn về sớm'!$D:$D,$J291)</f>
        <v>0</v>
      </c>
      <c r="Z291" s="110">
        <f t="shared" si="460"/>
        <v>0</v>
      </c>
      <c r="AA291" s="110">
        <f t="shared" si="461"/>
        <v>0</v>
      </c>
      <c r="AB291" s="111">
        <f t="shared" si="462"/>
        <v>0</v>
      </c>
      <c r="AC291" s="112">
        <f t="shared" si="413"/>
        <v>0</v>
      </c>
      <c r="AD291" s="113">
        <f t="shared" si="414"/>
        <v>0</v>
      </c>
      <c r="AE291" s="111">
        <f t="shared" si="463"/>
        <v>0</v>
      </c>
      <c r="AF291" s="113">
        <f t="shared" si="415"/>
        <v>0</v>
      </c>
      <c r="AG291" s="113">
        <f t="shared" si="416"/>
        <v>0</v>
      </c>
      <c r="AH291" s="114">
        <f t="shared" si="453"/>
        <v>9.6875</v>
      </c>
      <c r="AI291" s="102" t="str">
        <f t="shared" si="417"/>
        <v>X:8</v>
      </c>
      <c r="AJ291" s="102" t="str">
        <f t="shared" si="418"/>
        <v>NV11343798</v>
      </c>
      <c r="AK291" s="102" t="str">
        <f>IF(OR(J291&lt;D291,J291&gt;F291),"",
IFERROR(INDEX('3. Đơn xin nghỉ'!$K:$K,MATCH('4. Tổng hợp dữ liệu'!AJ291,'3. Đơn xin nghỉ'!$I:$I,0),1),
IF(AND(AU291="Không CC",I291&lt;&gt;1),"Ro:8","")))</f>
        <v/>
      </c>
      <c r="AL291" s="102" t="str">
        <f t="shared" si="419"/>
        <v/>
      </c>
      <c r="AM291" s="102" t="str">
        <f t="shared" si="464"/>
        <v>X:8</v>
      </c>
      <c r="AN291" s="102" t="s">
        <v>92</v>
      </c>
      <c r="AO291" s="102"/>
      <c r="AP291" s="115">
        <f>IFERROR(VLOOKUP(AN291,'Quy đổi công'!A:D,3,0),0)</f>
        <v>1</v>
      </c>
      <c r="AQ291" s="115">
        <f>IFERROR(VLOOKUP(AN291,'Quy đổi công'!A:D,4,0),0)</f>
        <v>0</v>
      </c>
      <c r="AR291" s="115">
        <f t="shared" si="420"/>
        <v>0</v>
      </c>
      <c r="AS291" s="115">
        <f t="shared" si="465"/>
        <v>1</v>
      </c>
      <c r="AT291" s="115">
        <f t="shared" si="466"/>
        <v>0</v>
      </c>
      <c r="AU291" s="102" t="str">
        <f t="shared" si="421"/>
        <v/>
      </c>
      <c r="AV291" s="102" t="str">
        <f t="shared" si="422"/>
        <v/>
      </c>
      <c r="AW291" s="102" t="str">
        <f t="shared" si="423"/>
        <v/>
      </c>
      <c r="AX291" s="102" t="str">
        <f t="shared" si="424"/>
        <v/>
      </c>
      <c r="AY291" s="102" t="str">
        <f t="shared" si="425"/>
        <v/>
      </c>
      <c r="AZ291" s="102"/>
      <c r="BA291" s="102">
        <f>IF(AV291&lt;&gt;0,COUNTIFS($A$7:A291,A291,$AV$7:AV291,"Quên check in"))
+IF(AW291&lt;&gt;0,COUNTIFS($A$7:A291,A291,$AW$7:AW291,"Quên check in"))
+IF(AX291&lt;&gt;0,COUNTIFS($A$7:A291,A291,$AX$7:AX291,"Quên check out"))
+IF(AY291&lt;&gt;0,COUNTIFS($A$7:A291,A291,$AY$7:AY291,"Quên check out"))</f>
        <v>1</v>
      </c>
      <c r="BB291" s="143">
        <f t="shared" si="426"/>
        <v>0</v>
      </c>
    </row>
    <row r="292" spans="1:54" s="83" customFormat="1" ht="14.1" customHeight="1" x14ac:dyDescent="0.3">
      <c r="A292" s="103" t="s">
        <v>9</v>
      </c>
      <c r="B292" s="104" t="s">
        <v>18</v>
      </c>
      <c r="C292" s="105">
        <v>4900000</v>
      </c>
      <c r="D292" s="106">
        <v>43437</v>
      </c>
      <c r="E292" s="107">
        <v>43617</v>
      </c>
      <c r="F292" s="107">
        <v>73415</v>
      </c>
      <c r="G292" s="105">
        <v>26</v>
      </c>
      <c r="H292" s="105">
        <f t="shared" si="454"/>
        <v>6</v>
      </c>
      <c r="I292" s="105"/>
      <c r="J292" s="108">
        <v>43798</v>
      </c>
      <c r="K292" s="108" t="str">
        <f t="shared" si="455"/>
        <v>NV11443798VàoSáng</v>
      </c>
      <c r="L292" s="102" t="str">
        <f>IFERROR(VLOOKUP(K292,'1. Vân tay'!$F:$G,2,0),0)</f>
        <v>08:00:53</v>
      </c>
      <c r="M292" s="108" t="str">
        <f t="shared" si="456"/>
        <v>NV11443798RaSáng</v>
      </c>
      <c r="N292" s="102">
        <f>IFERROR(VLOOKUP(M292,'1. Vân tay'!$F:$G,2,0),0)</f>
        <v>0</v>
      </c>
      <c r="O292" s="108" t="str">
        <f t="shared" si="457"/>
        <v>NV11443798VàoChiều</v>
      </c>
      <c r="P292" s="102">
        <f>IFERROR(VLOOKUP(O292,'1. Vân tay'!$F:$G,2,0),0)</f>
        <v>0</v>
      </c>
      <c r="Q292" s="108" t="str">
        <f t="shared" si="458"/>
        <v>NV11443798RaChiều</v>
      </c>
      <c r="R292" s="102" t="str">
        <f>IFERROR(VLOOKUP(Q292,'1. Vân tay'!$F:$G,2,0),0)</f>
        <v>17:40:41</v>
      </c>
      <c r="S292" s="102">
        <f t="shared" si="459"/>
        <v>0</v>
      </c>
      <c r="T292" s="109">
        <v>0.33333333333333331</v>
      </c>
      <c r="U292" s="109">
        <v>0.5</v>
      </c>
      <c r="V292" s="109">
        <v>0.5625</v>
      </c>
      <c r="W292" s="109">
        <v>0.72916666666666663</v>
      </c>
      <c r="X292" s="102">
        <f>HDSD!$F$4</f>
        <v>5</v>
      </c>
      <c r="Y292" s="102">
        <f>SUMIFS('2. Đi muộn về sớm'!$K:$K,
'2. Đi muộn về sớm'!$B:$B,$A292,
'2. Đi muộn về sớm'!$D:$D,$J292)</f>
        <v>0</v>
      </c>
      <c r="Z292" s="110">
        <f t="shared" si="460"/>
        <v>0.8833333333333333</v>
      </c>
      <c r="AA292" s="110">
        <f t="shared" si="461"/>
        <v>0</v>
      </c>
      <c r="AB292" s="111">
        <f t="shared" si="462"/>
        <v>0.8833333333333333</v>
      </c>
      <c r="AC292" s="112">
        <f t="shared" si="413"/>
        <v>0</v>
      </c>
      <c r="AD292" s="113">
        <f t="shared" si="414"/>
        <v>0</v>
      </c>
      <c r="AE292" s="111">
        <f t="shared" si="463"/>
        <v>0</v>
      </c>
      <c r="AF292" s="113">
        <f t="shared" si="415"/>
        <v>0</v>
      </c>
      <c r="AG292" s="113">
        <f t="shared" si="416"/>
        <v>0</v>
      </c>
      <c r="AH292" s="114">
        <f t="shared" si="453"/>
        <v>9.663333333333334</v>
      </c>
      <c r="AI292" s="102" t="str">
        <f t="shared" si="417"/>
        <v>X:8</v>
      </c>
      <c r="AJ292" s="102" t="str">
        <f t="shared" si="418"/>
        <v>NV11443798</v>
      </c>
      <c r="AK292" s="102" t="str">
        <f>IF(OR(J292&lt;D292,J292&gt;F292),"",
IFERROR(INDEX('3. Đơn xin nghỉ'!$K:$K,MATCH('4. Tổng hợp dữ liệu'!AJ292,'3. Đơn xin nghỉ'!$I:$I,0),1),
IF(AND(AU292="Không CC",I292&lt;&gt;1),"Ro:8","")))</f>
        <v/>
      </c>
      <c r="AL292" s="102" t="str">
        <f t="shared" si="419"/>
        <v/>
      </c>
      <c r="AM292" s="102" t="str">
        <f t="shared" si="464"/>
        <v>X:8</v>
      </c>
      <c r="AN292" s="102" t="s">
        <v>92</v>
      </c>
      <c r="AO292" s="102"/>
      <c r="AP292" s="115">
        <f>IFERROR(VLOOKUP(AN292,'Quy đổi công'!A:D,3,0),0)</f>
        <v>1</v>
      </c>
      <c r="AQ292" s="115">
        <f>IFERROR(VLOOKUP(AN292,'Quy đổi công'!A:D,4,0),0)</f>
        <v>0</v>
      </c>
      <c r="AR292" s="115">
        <f t="shared" si="420"/>
        <v>0</v>
      </c>
      <c r="AS292" s="115">
        <f t="shared" si="465"/>
        <v>1</v>
      </c>
      <c r="AT292" s="115">
        <f t="shared" si="466"/>
        <v>0</v>
      </c>
      <c r="AU292" s="102" t="str">
        <f t="shared" si="421"/>
        <v/>
      </c>
      <c r="AV292" s="102" t="str">
        <f t="shared" si="422"/>
        <v/>
      </c>
      <c r="AW292" s="102" t="str">
        <f t="shared" si="423"/>
        <v/>
      </c>
      <c r="AX292" s="102" t="str">
        <f t="shared" si="424"/>
        <v/>
      </c>
      <c r="AY292" s="102" t="str">
        <f t="shared" si="425"/>
        <v/>
      </c>
      <c r="AZ292" s="102"/>
      <c r="BA292" s="102">
        <f>IF(AV292&lt;&gt;0,COUNTIFS($A$7:A292,A292,$AV$7:AV292,"Quên check in"))
+IF(AW292&lt;&gt;0,COUNTIFS($A$7:A292,A292,$AW$7:AW292,"Quên check in"))
+IF(AX292&lt;&gt;0,COUNTIFS($A$7:A292,A292,$AX$7:AX292,"Quên check out"))
+IF(AY292&lt;&gt;0,COUNTIFS($A$7:A292,A292,$AY$7:AY292,"Quên check out"))</f>
        <v>2</v>
      </c>
      <c r="BB292" s="143">
        <f t="shared" si="426"/>
        <v>0</v>
      </c>
    </row>
    <row r="293" spans="1:54" s="83" customFormat="1" ht="14.1" customHeight="1" x14ac:dyDescent="0.3">
      <c r="A293" s="103" t="s">
        <v>10</v>
      </c>
      <c r="B293" s="104" t="s">
        <v>19</v>
      </c>
      <c r="C293" s="105">
        <v>5000000</v>
      </c>
      <c r="D293" s="106">
        <v>43445</v>
      </c>
      <c r="E293" s="107">
        <v>43647</v>
      </c>
      <c r="F293" s="107">
        <v>73415</v>
      </c>
      <c r="G293" s="105">
        <v>26</v>
      </c>
      <c r="H293" s="105">
        <f t="shared" si="454"/>
        <v>6</v>
      </c>
      <c r="I293" s="105"/>
      <c r="J293" s="108">
        <v>43798</v>
      </c>
      <c r="K293" s="108" t="str">
        <f t="shared" si="455"/>
        <v>NV11843798VàoSáng</v>
      </c>
      <c r="L293" s="102" t="str">
        <f>IFERROR(VLOOKUP(K293,'1. Vân tay'!$F:$G,2,0),0)</f>
        <v>08:05:09</v>
      </c>
      <c r="M293" s="108" t="str">
        <f t="shared" si="456"/>
        <v>NV11843798RaSáng</v>
      </c>
      <c r="N293" s="102">
        <f>IFERROR(VLOOKUP(M293,'1. Vân tay'!$F:$G,2,0),0)</f>
        <v>0</v>
      </c>
      <c r="O293" s="108" t="str">
        <f t="shared" si="457"/>
        <v>NV11843798VàoChiều</v>
      </c>
      <c r="P293" s="102">
        <f>IFERROR(VLOOKUP(O293,'1. Vân tay'!$F:$G,2,0),0)</f>
        <v>0</v>
      </c>
      <c r="Q293" s="108" t="str">
        <f t="shared" si="458"/>
        <v>NV11843798RaChiều</v>
      </c>
      <c r="R293" s="102" t="str">
        <f>IFERROR(VLOOKUP(Q293,'1. Vân tay'!$F:$G,2,0),0)</f>
        <v>17:30:41</v>
      </c>
      <c r="S293" s="102">
        <f t="shared" si="459"/>
        <v>0</v>
      </c>
      <c r="T293" s="109">
        <v>0.33333333333333331</v>
      </c>
      <c r="U293" s="109">
        <v>0.5</v>
      </c>
      <c r="V293" s="109">
        <v>0.5625</v>
      </c>
      <c r="W293" s="109">
        <v>0.72916666666666663</v>
      </c>
      <c r="X293" s="102">
        <f>HDSD!$F$4</f>
        <v>5</v>
      </c>
      <c r="Y293" s="102">
        <f>SUMIFS('2. Đi muộn về sớm'!$K:$K,
'2. Đi muộn về sớm'!$B:$B,$A293,
'2. Đi muộn về sớm'!$D:$D,$J293)</f>
        <v>0</v>
      </c>
      <c r="Z293" s="110">
        <f t="shared" si="460"/>
        <v>5.15</v>
      </c>
      <c r="AA293" s="110">
        <f t="shared" si="461"/>
        <v>0</v>
      </c>
      <c r="AB293" s="111">
        <f t="shared" si="462"/>
        <v>5.15</v>
      </c>
      <c r="AC293" s="112">
        <f t="shared" si="413"/>
        <v>0.15000000000000036</v>
      </c>
      <c r="AD293" s="113">
        <f t="shared" si="414"/>
        <v>300.00000000000068</v>
      </c>
      <c r="AE293" s="111">
        <f t="shared" si="463"/>
        <v>0</v>
      </c>
      <c r="AF293" s="113">
        <f t="shared" si="415"/>
        <v>0</v>
      </c>
      <c r="AG293" s="113">
        <f t="shared" si="416"/>
        <v>300.00000000000068</v>
      </c>
      <c r="AH293" s="114">
        <f t="shared" si="453"/>
        <v>9.4255555555555546</v>
      </c>
      <c r="AI293" s="102" t="str">
        <f t="shared" si="417"/>
        <v>X:8</v>
      </c>
      <c r="AJ293" s="102" t="str">
        <f t="shared" si="418"/>
        <v>NV11843798</v>
      </c>
      <c r="AK293" s="102" t="str">
        <f>IF(OR(J293&lt;D293,J293&gt;F293),"",
IFERROR(INDEX('3. Đơn xin nghỉ'!$K:$K,MATCH('4. Tổng hợp dữ liệu'!AJ293,'3. Đơn xin nghỉ'!$I:$I,0),1),
IF(AND(AU293="Không CC",I293&lt;&gt;1),"Ro:8","")))</f>
        <v/>
      </c>
      <c r="AL293" s="102" t="str">
        <f t="shared" si="419"/>
        <v/>
      </c>
      <c r="AM293" s="102" t="str">
        <f t="shared" si="464"/>
        <v>X:8</v>
      </c>
      <c r="AN293" s="102" t="s">
        <v>92</v>
      </c>
      <c r="AO293" s="102"/>
      <c r="AP293" s="115">
        <f>IFERROR(VLOOKUP(AN293,'Quy đổi công'!A:D,3,0),0)</f>
        <v>1</v>
      </c>
      <c r="AQ293" s="115">
        <f>IFERROR(VLOOKUP(AN293,'Quy đổi công'!A:D,4,0),0)</f>
        <v>0</v>
      </c>
      <c r="AR293" s="115">
        <f t="shared" si="420"/>
        <v>0</v>
      </c>
      <c r="AS293" s="115">
        <f t="shared" si="465"/>
        <v>1</v>
      </c>
      <c r="AT293" s="115">
        <f t="shared" si="466"/>
        <v>0</v>
      </c>
      <c r="AU293" s="102" t="str">
        <f t="shared" si="421"/>
        <v/>
      </c>
      <c r="AV293" s="102" t="str">
        <f t="shared" si="422"/>
        <v/>
      </c>
      <c r="AW293" s="102" t="str">
        <f t="shared" si="423"/>
        <v/>
      </c>
      <c r="AX293" s="102" t="str">
        <f t="shared" si="424"/>
        <v/>
      </c>
      <c r="AY293" s="102" t="str">
        <f t="shared" si="425"/>
        <v/>
      </c>
      <c r="AZ293" s="102"/>
      <c r="BA293" s="102">
        <f>IF(AV293&lt;&gt;0,COUNTIFS($A$7:A293,A293,$AV$7:AV293,"Quên check in"))
+IF(AW293&lt;&gt;0,COUNTIFS($A$7:A293,A293,$AW$7:AW293,"Quên check in"))
+IF(AX293&lt;&gt;0,COUNTIFS($A$7:A293,A293,$AX$7:AX293,"Quên check out"))
+IF(AY293&lt;&gt;0,COUNTIFS($A$7:A293,A293,$AY$7:AY293,"Quên check out"))</f>
        <v>1</v>
      </c>
      <c r="BB293" s="143">
        <f t="shared" si="426"/>
        <v>0</v>
      </c>
    </row>
    <row r="294" spans="1:54" s="83" customFormat="1" ht="14.1" customHeight="1" x14ac:dyDescent="0.3">
      <c r="A294" s="103" t="s">
        <v>11</v>
      </c>
      <c r="B294" s="104" t="s">
        <v>20</v>
      </c>
      <c r="C294" s="105">
        <v>4700000</v>
      </c>
      <c r="D294" s="106">
        <v>43467</v>
      </c>
      <c r="E294" s="107">
        <v>43617</v>
      </c>
      <c r="F294" s="107">
        <v>73415</v>
      </c>
      <c r="G294" s="105">
        <v>26</v>
      </c>
      <c r="H294" s="105">
        <f t="shared" si="454"/>
        <v>6</v>
      </c>
      <c r="I294" s="105"/>
      <c r="J294" s="108">
        <v>43798</v>
      </c>
      <c r="K294" s="108" t="str">
        <f t="shared" si="455"/>
        <v>NV12243798VàoSáng</v>
      </c>
      <c r="L294" s="102" t="str">
        <f>IFERROR(VLOOKUP(K294,'1. Vân tay'!$F:$G,2,0),0)</f>
        <v>07:58:13</v>
      </c>
      <c r="M294" s="108" t="str">
        <f t="shared" si="456"/>
        <v>NV12243798RaSáng</v>
      </c>
      <c r="N294" s="102">
        <f>IFERROR(VLOOKUP(M294,'1. Vân tay'!$F:$G,2,0),0)</f>
        <v>0</v>
      </c>
      <c r="O294" s="108" t="str">
        <f t="shared" si="457"/>
        <v>NV12243798VàoChiều</v>
      </c>
      <c r="P294" s="102">
        <f>IFERROR(VLOOKUP(O294,'1. Vân tay'!$F:$G,2,0),0)</f>
        <v>0</v>
      </c>
      <c r="Q294" s="108" t="str">
        <f t="shared" si="458"/>
        <v>NV12243798RaChiều</v>
      </c>
      <c r="R294" s="102" t="str">
        <f>IFERROR(VLOOKUP(Q294,'1. Vân tay'!$F:$G,2,0),0)</f>
        <v>17:30:35</v>
      </c>
      <c r="S294" s="102">
        <f t="shared" si="459"/>
        <v>0</v>
      </c>
      <c r="T294" s="109">
        <v>0.33333333333333331</v>
      </c>
      <c r="U294" s="109">
        <v>0.5</v>
      </c>
      <c r="V294" s="109">
        <v>0.5625</v>
      </c>
      <c r="W294" s="109">
        <v>0.72916666666666663</v>
      </c>
      <c r="X294" s="102">
        <f>HDSD!$F$4</f>
        <v>5</v>
      </c>
      <c r="Y294" s="102">
        <f>SUMIFS('2. Đi muộn về sớm'!$K:$K,
'2. Đi muộn về sớm'!$B:$B,$A294,
'2. Đi muộn về sớm'!$D:$D,$J294)</f>
        <v>0</v>
      </c>
      <c r="Z294" s="110">
        <f t="shared" si="460"/>
        <v>0</v>
      </c>
      <c r="AA294" s="110">
        <f t="shared" si="461"/>
        <v>0</v>
      </c>
      <c r="AB294" s="111">
        <f t="shared" si="462"/>
        <v>0</v>
      </c>
      <c r="AC294" s="112">
        <f t="shared" si="413"/>
        <v>0</v>
      </c>
      <c r="AD294" s="113">
        <f t="shared" si="414"/>
        <v>0</v>
      </c>
      <c r="AE294" s="111">
        <f t="shared" si="463"/>
        <v>0</v>
      </c>
      <c r="AF294" s="113">
        <f t="shared" si="415"/>
        <v>0</v>
      </c>
      <c r="AG294" s="113">
        <f t="shared" si="416"/>
        <v>0</v>
      </c>
      <c r="AH294" s="114">
        <f t="shared" si="453"/>
        <v>9.5394444444444435</v>
      </c>
      <c r="AI294" s="102" t="str">
        <f t="shared" si="417"/>
        <v>X:8</v>
      </c>
      <c r="AJ294" s="102" t="str">
        <f t="shared" si="418"/>
        <v>NV12243798</v>
      </c>
      <c r="AK294" s="102" t="str">
        <f>IF(OR(J294&lt;D294,J294&gt;F294),"",
IFERROR(INDEX('3. Đơn xin nghỉ'!$K:$K,MATCH('4. Tổng hợp dữ liệu'!AJ294,'3. Đơn xin nghỉ'!$I:$I,0),1),
IF(AND(AU294="Không CC",I294&lt;&gt;1),"Ro:8","")))</f>
        <v/>
      </c>
      <c r="AL294" s="102" t="str">
        <f t="shared" si="419"/>
        <v/>
      </c>
      <c r="AM294" s="102" t="str">
        <f t="shared" si="464"/>
        <v>X:8</v>
      </c>
      <c r="AN294" s="102" t="s">
        <v>92</v>
      </c>
      <c r="AO294" s="102"/>
      <c r="AP294" s="115">
        <f>IFERROR(VLOOKUP(AN294,'Quy đổi công'!A:D,3,0),0)</f>
        <v>1</v>
      </c>
      <c r="AQ294" s="115">
        <f>IFERROR(VLOOKUP(AN294,'Quy đổi công'!A:D,4,0),0)</f>
        <v>0</v>
      </c>
      <c r="AR294" s="115">
        <f t="shared" si="420"/>
        <v>0</v>
      </c>
      <c r="AS294" s="115">
        <f t="shared" si="465"/>
        <v>1</v>
      </c>
      <c r="AT294" s="115">
        <f t="shared" si="466"/>
        <v>0</v>
      </c>
      <c r="AU294" s="102" t="str">
        <f t="shared" si="421"/>
        <v/>
      </c>
      <c r="AV294" s="102" t="str">
        <f t="shared" si="422"/>
        <v/>
      </c>
      <c r="AW294" s="102" t="str">
        <f t="shared" si="423"/>
        <v/>
      </c>
      <c r="AX294" s="102" t="str">
        <f t="shared" si="424"/>
        <v/>
      </c>
      <c r="AY294" s="102" t="str">
        <f t="shared" si="425"/>
        <v/>
      </c>
      <c r="AZ294" s="102"/>
      <c r="BA294" s="102">
        <f>IF(AV294&lt;&gt;0,COUNTIFS($A$7:A294,A294,$AV$7:AV294,"Quên check in"))
+IF(AW294&lt;&gt;0,COUNTIFS($A$7:A294,A294,$AW$7:AW294,"Quên check in"))
+IF(AX294&lt;&gt;0,COUNTIFS($A$7:A294,A294,$AX$7:AX294,"Quên check out"))
+IF(AY294&lt;&gt;0,COUNTIFS($A$7:A294,A294,$AY$7:AY294,"Quên check out"))</f>
        <v>1</v>
      </c>
      <c r="BB294" s="143">
        <f t="shared" si="426"/>
        <v>0</v>
      </c>
    </row>
    <row r="295" spans="1:54" s="83" customFormat="1" ht="14.1" customHeight="1" x14ac:dyDescent="0.3">
      <c r="A295" s="103" t="s">
        <v>12</v>
      </c>
      <c r="B295" s="104" t="s">
        <v>21</v>
      </c>
      <c r="C295" s="105">
        <v>5000000</v>
      </c>
      <c r="D295" s="106">
        <v>43482</v>
      </c>
      <c r="E295" s="107">
        <v>43647</v>
      </c>
      <c r="F295" s="107">
        <v>73415</v>
      </c>
      <c r="G295" s="105">
        <v>26</v>
      </c>
      <c r="H295" s="105">
        <f t="shared" si="454"/>
        <v>6</v>
      </c>
      <c r="I295" s="105"/>
      <c r="J295" s="108">
        <v>43798</v>
      </c>
      <c r="K295" s="108" t="str">
        <f t="shared" si="455"/>
        <v>NV12343798VàoSáng</v>
      </c>
      <c r="L295" s="102" t="str">
        <f>IFERROR(VLOOKUP(K295,'1. Vân tay'!$F:$G,2,0),0)</f>
        <v>07:51:56</v>
      </c>
      <c r="M295" s="108" t="str">
        <f t="shared" si="456"/>
        <v>NV12343798RaSáng</v>
      </c>
      <c r="N295" s="102">
        <f>IFERROR(VLOOKUP(M295,'1. Vân tay'!$F:$G,2,0),0)</f>
        <v>0</v>
      </c>
      <c r="O295" s="108" t="str">
        <f t="shared" si="457"/>
        <v>NV12343798VàoChiều</v>
      </c>
      <c r="P295" s="102">
        <f>IFERROR(VLOOKUP(O295,'1. Vân tay'!$F:$G,2,0),0)</f>
        <v>0</v>
      </c>
      <c r="Q295" s="108" t="str">
        <f t="shared" si="458"/>
        <v>NV12343798RaChiều</v>
      </c>
      <c r="R295" s="102" t="str">
        <f>IFERROR(VLOOKUP(Q295,'1. Vân tay'!$F:$G,2,0),0)</f>
        <v>17:31:07</v>
      </c>
      <c r="S295" s="102">
        <f t="shared" si="459"/>
        <v>0</v>
      </c>
      <c r="T295" s="109">
        <v>0.33333333333333331</v>
      </c>
      <c r="U295" s="109">
        <v>0.5</v>
      </c>
      <c r="V295" s="109">
        <v>0.5625</v>
      </c>
      <c r="W295" s="109">
        <v>0.72916666666666663</v>
      </c>
      <c r="X295" s="102">
        <f>HDSD!$F$4</f>
        <v>5</v>
      </c>
      <c r="Y295" s="102">
        <f>SUMIFS('2. Đi muộn về sớm'!$K:$K,
'2. Đi muộn về sớm'!$B:$B,$A295,
'2. Đi muộn về sớm'!$D:$D,$J295)</f>
        <v>0</v>
      </c>
      <c r="Z295" s="110">
        <f t="shared" si="460"/>
        <v>0</v>
      </c>
      <c r="AA295" s="110">
        <f t="shared" si="461"/>
        <v>0</v>
      </c>
      <c r="AB295" s="111">
        <f t="shared" si="462"/>
        <v>0</v>
      </c>
      <c r="AC295" s="112">
        <f t="shared" si="413"/>
        <v>0</v>
      </c>
      <c r="AD295" s="113">
        <f t="shared" si="414"/>
        <v>0</v>
      </c>
      <c r="AE295" s="111">
        <f t="shared" si="463"/>
        <v>0</v>
      </c>
      <c r="AF295" s="113">
        <f t="shared" si="415"/>
        <v>0</v>
      </c>
      <c r="AG295" s="113">
        <f t="shared" si="416"/>
        <v>0</v>
      </c>
      <c r="AH295" s="114">
        <f t="shared" si="453"/>
        <v>9.6530555555555555</v>
      </c>
      <c r="AI295" s="102" t="str">
        <f t="shared" si="417"/>
        <v>X:8</v>
      </c>
      <c r="AJ295" s="102" t="str">
        <f t="shared" si="418"/>
        <v>NV12343798</v>
      </c>
      <c r="AK295" s="102" t="str">
        <f>IF(OR(J295&lt;D295,J295&gt;F295),"",
IFERROR(INDEX('3. Đơn xin nghỉ'!$K:$K,MATCH('4. Tổng hợp dữ liệu'!AJ295,'3. Đơn xin nghỉ'!$I:$I,0),1),
IF(AND(AU295="Không CC",I295&lt;&gt;1),"Ro:8","")))</f>
        <v/>
      </c>
      <c r="AL295" s="102" t="str">
        <f t="shared" si="419"/>
        <v/>
      </c>
      <c r="AM295" s="102" t="str">
        <f t="shared" si="464"/>
        <v>X:8</v>
      </c>
      <c r="AN295" s="102" t="s">
        <v>92</v>
      </c>
      <c r="AO295" s="102"/>
      <c r="AP295" s="115">
        <f>IFERROR(VLOOKUP(AN295,'Quy đổi công'!A:D,3,0),0)</f>
        <v>1</v>
      </c>
      <c r="AQ295" s="115">
        <f>IFERROR(VLOOKUP(AN295,'Quy đổi công'!A:D,4,0),0)</f>
        <v>0</v>
      </c>
      <c r="AR295" s="115">
        <f t="shared" si="420"/>
        <v>0</v>
      </c>
      <c r="AS295" s="115">
        <f t="shared" si="465"/>
        <v>1</v>
      </c>
      <c r="AT295" s="115">
        <f t="shared" si="466"/>
        <v>0</v>
      </c>
      <c r="AU295" s="102" t="str">
        <f t="shared" si="421"/>
        <v/>
      </c>
      <c r="AV295" s="102" t="str">
        <f t="shared" si="422"/>
        <v/>
      </c>
      <c r="AW295" s="102" t="str">
        <f t="shared" si="423"/>
        <v/>
      </c>
      <c r="AX295" s="102" t="str">
        <f t="shared" si="424"/>
        <v/>
      </c>
      <c r="AY295" s="102" t="str">
        <f t="shared" si="425"/>
        <v/>
      </c>
      <c r="AZ295" s="102"/>
      <c r="BA295" s="102">
        <f>IF(AV295&lt;&gt;0,COUNTIFS($A$7:A295,A295,$AV$7:AV295,"Quên check in"))
+IF(AW295&lt;&gt;0,COUNTIFS($A$7:A295,A295,$AW$7:AW295,"Quên check in"))
+IF(AX295&lt;&gt;0,COUNTIFS($A$7:A295,A295,$AX$7:AX295,"Quên check out"))
+IF(AY295&lt;&gt;0,COUNTIFS($A$7:A295,A295,$AY$7:AY295,"Quên check out"))</f>
        <v>1</v>
      </c>
      <c r="BB295" s="143">
        <f t="shared" si="426"/>
        <v>0</v>
      </c>
    </row>
    <row r="296" spans="1:54" s="83" customFormat="1" ht="14.1" customHeight="1" x14ac:dyDescent="0.3">
      <c r="A296" s="103" t="s">
        <v>13</v>
      </c>
      <c r="B296" s="104" t="s">
        <v>22</v>
      </c>
      <c r="C296" s="105">
        <v>4700000</v>
      </c>
      <c r="D296" s="106">
        <v>43531</v>
      </c>
      <c r="E296" s="107">
        <v>43647</v>
      </c>
      <c r="F296" s="107">
        <v>73415</v>
      </c>
      <c r="G296" s="105">
        <v>26</v>
      </c>
      <c r="H296" s="105">
        <f t="shared" si="454"/>
        <v>6</v>
      </c>
      <c r="I296" s="105"/>
      <c r="J296" s="108">
        <v>43798</v>
      </c>
      <c r="K296" s="108" t="str">
        <f t="shared" si="455"/>
        <v>NV12643798VàoSáng</v>
      </c>
      <c r="L296" s="102" t="str">
        <f>IFERROR(VLOOKUP(K296,'1. Vân tay'!$F:$G,2,0),0)</f>
        <v>07:53:48</v>
      </c>
      <c r="M296" s="108" t="str">
        <f t="shared" si="456"/>
        <v>NV12643798RaSáng</v>
      </c>
      <c r="N296" s="102">
        <f>IFERROR(VLOOKUP(M296,'1. Vân tay'!$F:$G,2,0),0)</f>
        <v>0</v>
      </c>
      <c r="O296" s="108" t="str">
        <f t="shared" si="457"/>
        <v>NV12643798VàoChiều</v>
      </c>
      <c r="P296" s="102">
        <f>IFERROR(VLOOKUP(O296,'1. Vân tay'!$F:$G,2,0),0)</f>
        <v>0</v>
      </c>
      <c r="Q296" s="108" t="str">
        <f t="shared" si="458"/>
        <v>NV12643798RaChiều</v>
      </c>
      <c r="R296" s="102" t="str">
        <f>IFERROR(VLOOKUP(Q296,'1. Vân tay'!$F:$G,2,0),0)</f>
        <v>17:34:09</v>
      </c>
      <c r="S296" s="102">
        <f t="shared" si="459"/>
        <v>0</v>
      </c>
      <c r="T296" s="109">
        <v>0.33333333333333331</v>
      </c>
      <c r="U296" s="109">
        <v>0.5</v>
      </c>
      <c r="V296" s="109">
        <v>0.5625</v>
      </c>
      <c r="W296" s="109">
        <v>0.72916666666666663</v>
      </c>
      <c r="X296" s="102">
        <f>HDSD!$F$4</f>
        <v>5</v>
      </c>
      <c r="Y296" s="102">
        <f>SUMIFS('2. Đi muộn về sớm'!$K:$K,
'2. Đi muộn về sớm'!$B:$B,$A296,
'2. Đi muộn về sớm'!$D:$D,$J296)</f>
        <v>0</v>
      </c>
      <c r="Z296" s="110">
        <f t="shared" si="460"/>
        <v>0</v>
      </c>
      <c r="AA296" s="110">
        <f t="shared" si="461"/>
        <v>0</v>
      </c>
      <c r="AB296" s="111">
        <f t="shared" si="462"/>
        <v>0</v>
      </c>
      <c r="AC296" s="112">
        <f t="shared" si="413"/>
        <v>0</v>
      </c>
      <c r="AD296" s="113">
        <f t="shared" si="414"/>
        <v>0</v>
      </c>
      <c r="AE296" s="111">
        <f t="shared" si="463"/>
        <v>0</v>
      </c>
      <c r="AF296" s="113">
        <f t="shared" si="415"/>
        <v>0</v>
      </c>
      <c r="AG296" s="113">
        <f t="shared" si="416"/>
        <v>0</v>
      </c>
      <c r="AH296" s="114">
        <f t="shared" si="453"/>
        <v>9.6724999999999994</v>
      </c>
      <c r="AI296" s="102" t="str">
        <f t="shared" si="417"/>
        <v>X:8</v>
      </c>
      <c r="AJ296" s="102" t="str">
        <f t="shared" si="418"/>
        <v>NV12643798</v>
      </c>
      <c r="AK296" s="102" t="str">
        <f>IF(OR(J296&lt;D296,J296&gt;F296),"",
IFERROR(INDEX('3. Đơn xin nghỉ'!$K:$K,MATCH('4. Tổng hợp dữ liệu'!AJ296,'3. Đơn xin nghỉ'!$I:$I,0),1),
IF(AND(AU296="Không CC",I296&lt;&gt;1),"Ro:8","")))</f>
        <v/>
      </c>
      <c r="AL296" s="102" t="str">
        <f t="shared" si="419"/>
        <v/>
      </c>
      <c r="AM296" s="102" t="str">
        <f t="shared" si="464"/>
        <v>X:8</v>
      </c>
      <c r="AN296" s="102" t="s">
        <v>92</v>
      </c>
      <c r="AO296" s="102"/>
      <c r="AP296" s="115">
        <f>IFERROR(VLOOKUP(AN296,'Quy đổi công'!A:D,3,0),0)</f>
        <v>1</v>
      </c>
      <c r="AQ296" s="115">
        <f>IFERROR(VLOOKUP(AN296,'Quy đổi công'!A:D,4,0),0)</f>
        <v>0</v>
      </c>
      <c r="AR296" s="115">
        <f t="shared" si="420"/>
        <v>0</v>
      </c>
      <c r="AS296" s="115">
        <f t="shared" si="465"/>
        <v>1</v>
      </c>
      <c r="AT296" s="115">
        <f t="shared" si="466"/>
        <v>0</v>
      </c>
      <c r="AU296" s="102" t="str">
        <f t="shared" si="421"/>
        <v/>
      </c>
      <c r="AV296" s="102" t="str">
        <f t="shared" si="422"/>
        <v/>
      </c>
      <c r="AW296" s="102" t="str">
        <f t="shared" si="423"/>
        <v/>
      </c>
      <c r="AX296" s="102" t="str">
        <f t="shared" si="424"/>
        <v/>
      </c>
      <c r="AY296" s="102" t="str">
        <f t="shared" si="425"/>
        <v/>
      </c>
      <c r="AZ296" s="102"/>
      <c r="BA296" s="102">
        <f>IF(AV296&lt;&gt;0,COUNTIFS($A$7:A296,A296,$AV$7:AV296,"Quên check in"))
+IF(AW296&lt;&gt;0,COUNTIFS($A$7:A296,A296,$AW$7:AW296,"Quên check in"))
+IF(AX296&lt;&gt;0,COUNTIFS($A$7:A296,A296,$AX$7:AX296,"Quên check out"))
+IF(AY296&lt;&gt;0,COUNTIFS($A$7:A296,A296,$AY$7:AY296,"Quên check out"))</f>
        <v>0</v>
      </c>
      <c r="BB296" s="143">
        <f t="shared" si="426"/>
        <v>0</v>
      </c>
    </row>
    <row r="297" spans="1:54" s="83" customFormat="1" ht="14.1" customHeight="1" x14ac:dyDescent="0.3">
      <c r="A297" s="103" t="s">
        <v>4</v>
      </c>
      <c r="B297" s="104" t="s">
        <v>14</v>
      </c>
      <c r="C297" s="105">
        <v>4700000</v>
      </c>
      <c r="D297" s="106">
        <v>43388</v>
      </c>
      <c r="E297" s="107">
        <v>43525</v>
      </c>
      <c r="F297" s="107">
        <v>73415</v>
      </c>
      <c r="G297" s="105">
        <v>26</v>
      </c>
      <c r="H297" s="105">
        <f t="shared" ref="H297:H306" si="467">WEEKDAY(J297,1)</f>
        <v>7</v>
      </c>
      <c r="I297" s="105"/>
      <c r="J297" s="108">
        <v>43799</v>
      </c>
      <c r="K297" s="108" t="str">
        <f t="shared" ref="K297:K306" si="468">$A297&amp;$J297&amp;"Vào"&amp;"Sáng"</f>
        <v>NV10143799VàoSáng</v>
      </c>
      <c r="L297" s="102" t="str">
        <f>IFERROR(VLOOKUP(K297,'1. Vân tay'!$F:$G,2,0),0)</f>
        <v>07:58:10</v>
      </c>
      <c r="M297" s="108" t="str">
        <f t="shared" ref="M297:M306" si="469">$A297&amp;$J297&amp;"Ra"&amp;"Sáng"</f>
        <v>NV10143799RaSáng</v>
      </c>
      <c r="N297" s="102">
        <f>IFERROR(VLOOKUP(M297,'1. Vân tay'!$F:$G,2,0),0)</f>
        <v>0</v>
      </c>
      <c r="O297" s="108" t="str">
        <f t="shared" ref="O297:O306" si="470">$A297&amp;$J297&amp;"Vào"&amp;"Chiều"</f>
        <v>NV10143799VàoChiều</v>
      </c>
      <c r="P297" s="102">
        <f>IFERROR(VLOOKUP(O297,'1. Vân tay'!$F:$G,2,0),0)</f>
        <v>0</v>
      </c>
      <c r="Q297" s="108" t="str">
        <f t="shared" ref="Q297:Q306" si="471">$A297&amp;$J297&amp;"Ra"&amp;"Chiều"</f>
        <v>NV10143799RaChiều</v>
      </c>
      <c r="R297" s="102" t="str">
        <f>IFERROR(VLOOKUP(Q297,'1. Vân tay'!$F:$G,2,0),0)</f>
        <v>17:30:09</v>
      </c>
      <c r="S297" s="102">
        <f t="shared" ref="S297:S306" si="472">IF(OR(
(AND(L297&lt;&gt;0,P297&lt;&gt;0)),
(AND(N297&lt;&gt;0,R297&lt;&gt;0))),"Kiểm tra",0)</f>
        <v>0</v>
      </c>
      <c r="T297" s="109">
        <v>0.33333333333333331</v>
      </c>
      <c r="U297" s="109">
        <v>0.5</v>
      </c>
      <c r="V297" s="109">
        <v>0.5625</v>
      </c>
      <c r="W297" s="109">
        <v>0.72916666666666663</v>
      </c>
      <c r="X297" s="102">
        <f>HDSD!$F$4</f>
        <v>5</v>
      </c>
      <c r="Y297" s="102">
        <f>SUMIFS('2. Đi muộn về sớm'!$K:$K,
'2. Đi muộn về sớm'!$B:$B,$A297,
'2. Đi muộn về sớm'!$D:$D,$J297)</f>
        <v>0</v>
      </c>
      <c r="Z297" s="110">
        <f t="shared" ref="Z297:Z306" si="473">IF(L297=0,0,IFERROR((HOUR(L297-T297)*60+MINUTE(L297-T297)+SECOND(L297-T297)/60),0))
+IF(N297=0,0, IFERROR((HOUR(U297-N297)*60+MINUTE(U297-N297)+SECOND(U297-N297)/60),0))
+IF(P297=0,0, IFERROR((HOUR(P297-V297)*60+MINUTE(P297-V297)+SECOND(P297-V297)/60),0))
+IF(R297=0,0, IFERROR((HOUR(W297-R297)*60+MINUTE(W297-R297)+SECOND(W297-R297)/60),0))</f>
        <v>0</v>
      </c>
      <c r="AA297" s="110">
        <f t="shared" ref="AA297:AA306" si="474">IF(L297=0,0,IFERROR((HOUR(L297-"09:00:00")*60+MINUTE(L297-"09:00:00")+SECOND(L297-"09:00:00")/60),0))
+IF(N297=0,0, IFERROR((HOUR(U297-N297)*60+MINUTE(U297-N297)+SECOND(U297-N297)/60),0))
+IF(P297=0,0, IFERROR((HOUR(P297-V297)*60+MINUTE(P297-V297)+SECOND(P297-V297)/60),0))
+IF(R297=0,0, IFERROR((HOUR("16:30:00"-R297)*60+MINUTE("16:30:00"-R297)+SECOND("16:30:00"-R297)/60),0))</f>
        <v>0</v>
      </c>
      <c r="AB297" s="111">
        <f t="shared" ref="AB297:AB306" si="475">Z297-AA297</f>
        <v>0</v>
      </c>
      <c r="AC297" s="112">
        <f t="shared" si="413"/>
        <v>0</v>
      </c>
      <c r="AD297" s="113">
        <f t="shared" si="414"/>
        <v>0</v>
      </c>
      <c r="AE297" s="111">
        <f t="shared" ref="AE297:AE306" si="476">AA297/60/8</f>
        <v>0</v>
      </c>
      <c r="AF297" s="113">
        <f t="shared" si="415"/>
        <v>0</v>
      </c>
      <c r="AG297" s="113">
        <f t="shared" si="416"/>
        <v>0</v>
      </c>
      <c r="AH297" s="114">
        <f t="shared" si="453"/>
        <v>9.5330555555555563</v>
      </c>
      <c r="AI297" s="102" t="str">
        <f t="shared" si="417"/>
        <v>X:8</v>
      </c>
      <c r="AJ297" s="102" t="str">
        <f t="shared" si="418"/>
        <v>NV10143799</v>
      </c>
      <c r="AK297" s="102" t="str">
        <f>IF(OR(J297&lt;D297,J297&gt;F297),"",
IFERROR(INDEX('3. Đơn xin nghỉ'!$K:$K,MATCH('4. Tổng hợp dữ liệu'!AJ297,'3. Đơn xin nghỉ'!$I:$I,0),1),
IF(AND(AU297="Không CC",I297&lt;&gt;1),"Ro:8","")))</f>
        <v/>
      </c>
      <c r="AL297" s="102" t="str">
        <f t="shared" si="419"/>
        <v/>
      </c>
      <c r="AM297" s="102" t="str">
        <f t="shared" ref="AM297:AM306" si="477">IF(OR(AI297="",AK297=""),AI297&amp;AK297,AI297&amp;","&amp;AK297)&amp;AL297</f>
        <v>X:8</v>
      </c>
      <c r="AN297" s="102" t="s">
        <v>92</v>
      </c>
      <c r="AO297" s="102"/>
      <c r="AP297" s="115">
        <f>IFERROR(VLOOKUP(AN297,'Quy đổi công'!A:D,3,0),0)</f>
        <v>1</v>
      </c>
      <c r="AQ297" s="115">
        <f>IFERROR(VLOOKUP(AN297,'Quy đổi công'!A:D,4,0),0)</f>
        <v>0</v>
      </c>
      <c r="AR297" s="115">
        <f t="shared" si="420"/>
        <v>0</v>
      </c>
      <c r="AS297" s="115">
        <f t="shared" ref="AS297:AS306" si="478">AP297-AR297</f>
        <v>1</v>
      </c>
      <c r="AT297" s="115">
        <f t="shared" ref="AT297:AT306" si="479">IF(AN297="P8",1)
+IF(OR(AN297="X:4,P:4",AN297="P:4,Rv:4",AN297="P:4,Ro:4"),1/2)</f>
        <v>0</v>
      </c>
      <c r="AU297" s="102" t="str">
        <f t="shared" si="421"/>
        <v/>
      </c>
      <c r="AV297" s="102" t="str">
        <f t="shared" si="422"/>
        <v/>
      </c>
      <c r="AW297" s="102" t="str">
        <f t="shared" si="423"/>
        <v/>
      </c>
      <c r="AX297" s="102" t="str">
        <f t="shared" si="424"/>
        <v/>
      </c>
      <c r="AY297" s="102" t="str">
        <f t="shared" si="425"/>
        <v/>
      </c>
      <c r="AZ297" s="102"/>
      <c r="BA297" s="102">
        <f>IF(AV297&lt;&gt;0,COUNTIFS($A$7:A297,A297,$AV$7:AV297,"Quên check in"))
+IF(AW297&lt;&gt;0,COUNTIFS($A$7:A297,A297,$AW$7:AW297,"Quên check in"))
+IF(AX297&lt;&gt;0,COUNTIFS($A$7:A297,A297,$AX$7:AX297,"Quên check out"))
+IF(AY297&lt;&gt;0,COUNTIFS($A$7:A297,A297,$AY$7:AY297,"Quên check out"))</f>
        <v>0</v>
      </c>
      <c r="BB297" s="143">
        <f t="shared" si="426"/>
        <v>0</v>
      </c>
    </row>
    <row r="298" spans="1:54" s="83" customFormat="1" ht="14.1" customHeight="1" x14ac:dyDescent="0.3">
      <c r="A298" s="103" t="s">
        <v>5</v>
      </c>
      <c r="B298" s="104" t="s">
        <v>28</v>
      </c>
      <c r="C298" s="105">
        <v>10000000</v>
      </c>
      <c r="D298" s="106">
        <v>43409</v>
      </c>
      <c r="E298" s="107">
        <v>43678</v>
      </c>
      <c r="F298" s="107">
        <v>73415</v>
      </c>
      <c r="G298" s="105">
        <v>26</v>
      </c>
      <c r="H298" s="105">
        <f t="shared" si="467"/>
        <v>7</v>
      </c>
      <c r="I298" s="105"/>
      <c r="J298" s="108">
        <v>43799</v>
      </c>
      <c r="K298" s="108" t="str">
        <f t="shared" si="468"/>
        <v>NV10743799VàoSáng</v>
      </c>
      <c r="L298" s="102" t="str">
        <f>IFERROR(VLOOKUP(K298,'1. Vân tay'!$F:$G,2,0),0)</f>
        <v>08:00:26</v>
      </c>
      <c r="M298" s="108" t="str">
        <f t="shared" si="469"/>
        <v>NV10743799RaSáng</v>
      </c>
      <c r="N298" s="102" t="str">
        <f>IFERROR(VLOOKUP(M298,'1. Vân tay'!$F:$G,2,0),0)</f>
        <v>13:10:30</v>
      </c>
      <c r="O298" s="108" t="str">
        <f t="shared" si="470"/>
        <v>NV10743799VàoChiều</v>
      </c>
      <c r="P298" s="102">
        <f>IFERROR(VLOOKUP(O298,'1. Vân tay'!$F:$G,2,0),0)</f>
        <v>0</v>
      </c>
      <c r="Q298" s="108" t="str">
        <f t="shared" si="471"/>
        <v>NV10743799RaChiều</v>
      </c>
      <c r="R298" s="102">
        <f>IFERROR(VLOOKUP(Q298,'1. Vân tay'!$F:$G,2,0),0)</f>
        <v>0</v>
      </c>
      <c r="S298" s="102">
        <f t="shared" si="472"/>
        <v>0</v>
      </c>
      <c r="T298" s="109">
        <v>0.33333333333333331</v>
      </c>
      <c r="U298" s="109">
        <v>0.5</v>
      </c>
      <c r="V298" s="109">
        <v>0.5625</v>
      </c>
      <c r="W298" s="109">
        <v>0.72916666666666663</v>
      </c>
      <c r="X298" s="102">
        <f>HDSD!$F$4</f>
        <v>5</v>
      </c>
      <c r="Y298" s="102">
        <f>SUMIFS('2. Đi muộn về sớm'!$K:$K,
'2. Đi muộn về sớm'!$B:$B,$A298,
'2. Đi muộn về sớm'!$D:$D,$J298)</f>
        <v>0</v>
      </c>
      <c r="Z298" s="110">
        <f t="shared" si="473"/>
        <v>0.43333333333333335</v>
      </c>
      <c r="AA298" s="110">
        <f t="shared" si="474"/>
        <v>0</v>
      </c>
      <c r="AB298" s="111">
        <f t="shared" si="475"/>
        <v>0.43333333333333335</v>
      </c>
      <c r="AC298" s="112">
        <f t="shared" si="413"/>
        <v>0</v>
      </c>
      <c r="AD298" s="113">
        <f t="shared" si="414"/>
        <v>0</v>
      </c>
      <c r="AE298" s="111">
        <f t="shared" si="476"/>
        <v>0</v>
      </c>
      <c r="AF298" s="113">
        <f t="shared" si="415"/>
        <v>0</v>
      </c>
      <c r="AG298" s="113">
        <f t="shared" si="416"/>
        <v>0</v>
      </c>
      <c r="AH298" s="114">
        <f t="shared" si="453"/>
        <v>5.1677777777777782</v>
      </c>
      <c r="AI298" s="102" t="str">
        <f t="shared" si="417"/>
        <v>X:4</v>
      </c>
      <c r="AJ298" s="102" t="str">
        <f t="shared" si="418"/>
        <v>NV10743799</v>
      </c>
      <c r="AK298" s="102" t="str">
        <f>IF(OR(J298&lt;D298,J298&gt;F298),"",
IFERROR(INDEX('3. Đơn xin nghỉ'!$K:$K,MATCH('4. Tổng hợp dữ liệu'!AJ298,'3. Đơn xin nghỉ'!$I:$I,0),1),
IF(AND(AU298="Không CC",I298&lt;&gt;1),"Ro:8","")))</f>
        <v>P:4</v>
      </c>
      <c r="AL298" s="102" t="str">
        <f t="shared" si="419"/>
        <v/>
      </c>
      <c r="AM298" s="102" t="str">
        <f t="shared" si="477"/>
        <v>X:4,P:4</v>
      </c>
      <c r="AN298" s="102" t="s">
        <v>137</v>
      </c>
      <c r="AO298" s="102"/>
      <c r="AP298" s="115">
        <f>IFERROR(VLOOKUP(AN298,'Quy đổi công'!A:D,3,0),0)</f>
        <v>1</v>
      </c>
      <c r="AQ298" s="115">
        <f>IFERROR(VLOOKUP(AN298,'Quy đổi công'!A:D,4,0),0)</f>
        <v>0</v>
      </c>
      <c r="AR298" s="115">
        <f t="shared" si="420"/>
        <v>0</v>
      </c>
      <c r="AS298" s="115">
        <f t="shared" si="478"/>
        <v>1</v>
      </c>
      <c r="AT298" s="115">
        <f t="shared" si="479"/>
        <v>0.5</v>
      </c>
      <c r="AU298" s="102" t="str">
        <f t="shared" si="421"/>
        <v/>
      </c>
      <c r="AV298" s="102" t="str">
        <f t="shared" si="422"/>
        <v/>
      </c>
      <c r="AW298" s="102" t="str">
        <f t="shared" si="423"/>
        <v/>
      </c>
      <c r="AX298" s="102" t="str">
        <f t="shared" si="424"/>
        <v/>
      </c>
      <c r="AY298" s="102" t="str">
        <f t="shared" si="425"/>
        <v/>
      </c>
      <c r="AZ298" s="102"/>
      <c r="BA298" s="102">
        <f>IF(AV298&lt;&gt;0,COUNTIFS($A$7:A298,A298,$AV$7:AV298,"Quên check in"))
+IF(AW298&lt;&gt;0,COUNTIFS($A$7:A298,A298,$AW$7:AW298,"Quên check in"))
+IF(AX298&lt;&gt;0,COUNTIFS($A$7:A298,A298,$AX$7:AX298,"Quên check out"))
+IF(AY298&lt;&gt;0,COUNTIFS($A$7:A298,A298,$AY$7:AY298,"Quên check out"))</f>
        <v>5</v>
      </c>
      <c r="BB298" s="143">
        <f t="shared" si="426"/>
        <v>50000</v>
      </c>
    </row>
    <row r="299" spans="1:54" s="83" customFormat="1" ht="14.1" customHeight="1" x14ac:dyDescent="0.3">
      <c r="A299" s="103" t="s">
        <v>6</v>
      </c>
      <c r="B299" s="104" t="s">
        <v>15</v>
      </c>
      <c r="C299" s="105">
        <v>4700000</v>
      </c>
      <c r="D299" s="106">
        <v>43409</v>
      </c>
      <c r="E299" s="107">
        <v>43617</v>
      </c>
      <c r="F299" s="107">
        <v>73415</v>
      </c>
      <c r="G299" s="105">
        <v>26</v>
      </c>
      <c r="H299" s="105">
        <f t="shared" si="467"/>
        <v>7</v>
      </c>
      <c r="I299" s="105"/>
      <c r="J299" s="108">
        <v>43799</v>
      </c>
      <c r="K299" s="108" t="str">
        <f t="shared" si="468"/>
        <v>NV10843799VàoSáng</v>
      </c>
      <c r="L299" s="102" t="str">
        <f>IFERROR(VLOOKUP(K299,'1. Vân tay'!$F:$G,2,0),0)</f>
        <v>08:01:42</v>
      </c>
      <c r="M299" s="108" t="str">
        <f t="shared" si="469"/>
        <v>NV10843799RaSáng</v>
      </c>
      <c r="N299" s="102">
        <f>IFERROR(VLOOKUP(M299,'1. Vân tay'!$F:$G,2,0),0)</f>
        <v>0</v>
      </c>
      <c r="O299" s="108" t="str">
        <f t="shared" si="470"/>
        <v>NV10843799VàoChiều</v>
      </c>
      <c r="P299" s="102">
        <f>IFERROR(VLOOKUP(O299,'1. Vân tay'!$F:$G,2,0),0)</f>
        <v>0</v>
      </c>
      <c r="Q299" s="108" t="str">
        <f t="shared" si="471"/>
        <v>NV10843799RaChiều</v>
      </c>
      <c r="R299" s="102" t="str">
        <f>IFERROR(VLOOKUP(Q299,'1. Vân tay'!$F:$G,2,0),0)</f>
        <v>17:40:12</v>
      </c>
      <c r="S299" s="102">
        <f t="shared" si="472"/>
        <v>0</v>
      </c>
      <c r="T299" s="109">
        <v>0.33333333333333331</v>
      </c>
      <c r="U299" s="109">
        <v>0.5</v>
      </c>
      <c r="V299" s="109">
        <v>0.5625</v>
      </c>
      <c r="W299" s="109">
        <v>0.72916666666666663</v>
      </c>
      <c r="X299" s="102">
        <f>HDSD!$F$4</f>
        <v>5</v>
      </c>
      <c r="Y299" s="102">
        <f>SUMIFS('2. Đi muộn về sớm'!$K:$K,
'2. Đi muộn về sớm'!$B:$B,$A299,
'2. Đi muộn về sớm'!$D:$D,$J299)</f>
        <v>0</v>
      </c>
      <c r="Z299" s="110">
        <f t="shared" si="473"/>
        <v>1.7</v>
      </c>
      <c r="AA299" s="110">
        <f t="shared" si="474"/>
        <v>0</v>
      </c>
      <c r="AB299" s="111">
        <f t="shared" si="475"/>
        <v>1.7</v>
      </c>
      <c r="AC299" s="112">
        <f t="shared" si="413"/>
        <v>0</v>
      </c>
      <c r="AD299" s="113">
        <f t="shared" si="414"/>
        <v>0</v>
      </c>
      <c r="AE299" s="111">
        <f t="shared" si="476"/>
        <v>0</v>
      </c>
      <c r="AF299" s="113">
        <f t="shared" si="415"/>
        <v>0</v>
      </c>
      <c r="AG299" s="113">
        <f t="shared" si="416"/>
        <v>0</v>
      </c>
      <c r="AH299" s="114">
        <f t="shared" si="453"/>
        <v>9.6416666666666657</v>
      </c>
      <c r="AI299" s="102" t="str">
        <f t="shared" si="417"/>
        <v>X:8</v>
      </c>
      <c r="AJ299" s="102" t="str">
        <f t="shared" si="418"/>
        <v>NV10843799</v>
      </c>
      <c r="AK299" s="102" t="str">
        <f>IF(OR(J299&lt;D299,J299&gt;F299),"",
IFERROR(INDEX('3. Đơn xin nghỉ'!$K:$K,MATCH('4. Tổng hợp dữ liệu'!AJ299,'3. Đơn xin nghỉ'!$I:$I,0),1),
IF(AND(AU299="Không CC",I299&lt;&gt;1),"Ro:8","")))</f>
        <v/>
      </c>
      <c r="AL299" s="102" t="str">
        <f t="shared" si="419"/>
        <v/>
      </c>
      <c r="AM299" s="102" t="str">
        <f t="shared" si="477"/>
        <v>X:8</v>
      </c>
      <c r="AN299" s="102" t="s">
        <v>92</v>
      </c>
      <c r="AO299" s="102"/>
      <c r="AP299" s="115">
        <f>IFERROR(VLOOKUP(AN299,'Quy đổi công'!A:D,3,0),0)</f>
        <v>1</v>
      </c>
      <c r="AQ299" s="115">
        <f>IFERROR(VLOOKUP(AN299,'Quy đổi công'!A:D,4,0),0)</f>
        <v>0</v>
      </c>
      <c r="AR299" s="115">
        <f t="shared" si="420"/>
        <v>0</v>
      </c>
      <c r="AS299" s="115">
        <f t="shared" si="478"/>
        <v>1</v>
      </c>
      <c r="AT299" s="115">
        <f t="shared" si="479"/>
        <v>0</v>
      </c>
      <c r="AU299" s="102" t="str">
        <f t="shared" si="421"/>
        <v/>
      </c>
      <c r="AV299" s="102" t="str">
        <f t="shared" si="422"/>
        <v/>
      </c>
      <c r="AW299" s="102" t="str">
        <f t="shared" si="423"/>
        <v/>
      </c>
      <c r="AX299" s="102" t="str">
        <f t="shared" si="424"/>
        <v/>
      </c>
      <c r="AY299" s="102" t="str">
        <f t="shared" si="425"/>
        <v/>
      </c>
      <c r="AZ299" s="102"/>
      <c r="BA299" s="102">
        <f>IF(AV299&lt;&gt;0,COUNTIFS($A$7:A299,A299,$AV$7:AV299,"Quên check in"))
+IF(AW299&lt;&gt;0,COUNTIFS($A$7:A299,A299,$AW$7:AW299,"Quên check in"))
+IF(AX299&lt;&gt;0,COUNTIFS($A$7:A299,A299,$AX$7:AX299,"Quên check out"))
+IF(AY299&lt;&gt;0,COUNTIFS($A$7:A299,A299,$AY$7:AY299,"Quên check out"))</f>
        <v>0</v>
      </c>
      <c r="BB299" s="143">
        <f t="shared" si="426"/>
        <v>0</v>
      </c>
    </row>
    <row r="300" spans="1:54" s="83" customFormat="1" ht="14.1" customHeight="1" x14ac:dyDescent="0.3">
      <c r="A300" s="103" t="s">
        <v>7</v>
      </c>
      <c r="B300" s="104" t="s">
        <v>16</v>
      </c>
      <c r="C300" s="105">
        <v>5000000</v>
      </c>
      <c r="D300" s="106">
        <v>43416</v>
      </c>
      <c r="E300" s="107">
        <v>43617</v>
      </c>
      <c r="F300" s="107">
        <v>73415</v>
      </c>
      <c r="G300" s="105">
        <v>26</v>
      </c>
      <c r="H300" s="105">
        <f t="shared" si="467"/>
        <v>7</v>
      </c>
      <c r="I300" s="105"/>
      <c r="J300" s="108">
        <v>43799</v>
      </c>
      <c r="K300" s="108" t="str">
        <f t="shared" si="468"/>
        <v>NV10943799VàoSáng</v>
      </c>
      <c r="L300" s="102" t="str">
        <f>IFERROR(VLOOKUP(K300,'1. Vân tay'!$F:$G,2,0),0)</f>
        <v>07:58:42</v>
      </c>
      <c r="M300" s="108" t="str">
        <f t="shared" si="469"/>
        <v>NV10943799RaSáng</v>
      </c>
      <c r="N300" s="102">
        <f>IFERROR(VLOOKUP(M300,'1. Vân tay'!$F:$G,2,0),0)</f>
        <v>0</v>
      </c>
      <c r="O300" s="108" t="str">
        <f t="shared" si="470"/>
        <v>NV10943799VàoChiều</v>
      </c>
      <c r="P300" s="102">
        <f>IFERROR(VLOOKUP(O300,'1. Vân tay'!$F:$G,2,0),0)</f>
        <v>0</v>
      </c>
      <c r="Q300" s="108" t="str">
        <f t="shared" si="471"/>
        <v>NV10943799RaChiều</v>
      </c>
      <c r="R300" s="102" t="str">
        <f>IFERROR(VLOOKUP(Q300,'1. Vân tay'!$F:$G,2,0),0)</f>
        <v>17:34:10</v>
      </c>
      <c r="S300" s="102">
        <f t="shared" si="472"/>
        <v>0</v>
      </c>
      <c r="T300" s="109">
        <v>0.33333333333333331</v>
      </c>
      <c r="U300" s="109">
        <v>0.5</v>
      </c>
      <c r="V300" s="109">
        <v>0.5625</v>
      </c>
      <c r="W300" s="109">
        <v>0.72916666666666663</v>
      </c>
      <c r="X300" s="102">
        <f>HDSD!$F$4</f>
        <v>5</v>
      </c>
      <c r="Y300" s="102">
        <f>SUMIFS('2. Đi muộn về sớm'!$K:$K,
'2. Đi muộn về sớm'!$B:$B,$A300,
'2. Đi muộn về sớm'!$D:$D,$J300)</f>
        <v>0</v>
      </c>
      <c r="Z300" s="110">
        <f t="shared" si="473"/>
        <v>0</v>
      </c>
      <c r="AA300" s="110">
        <f t="shared" si="474"/>
        <v>0</v>
      </c>
      <c r="AB300" s="111">
        <f t="shared" si="475"/>
        <v>0</v>
      </c>
      <c r="AC300" s="112">
        <f t="shared" si="413"/>
        <v>0</v>
      </c>
      <c r="AD300" s="113">
        <f t="shared" si="414"/>
        <v>0</v>
      </c>
      <c r="AE300" s="111">
        <f t="shared" si="476"/>
        <v>0</v>
      </c>
      <c r="AF300" s="113">
        <f t="shared" si="415"/>
        <v>0</v>
      </c>
      <c r="AG300" s="113">
        <f t="shared" si="416"/>
        <v>0</v>
      </c>
      <c r="AH300" s="114">
        <f t="shared" si="453"/>
        <v>9.5911111111111111</v>
      </c>
      <c r="AI300" s="102" t="str">
        <f t="shared" si="417"/>
        <v>X:8</v>
      </c>
      <c r="AJ300" s="102" t="str">
        <f t="shared" si="418"/>
        <v>NV10943799</v>
      </c>
      <c r="AK300" s="102" t="str">
        <f>IF(OR(J300&lt;D300,J300&gt;F300),"",
IFERROR(INDEX('3. Đơn xin nghỉ'!$K:$K,MATCH('4. Tổng hợp dữ liệu'!AJ300,'3. Đơn xin nghỉ'!$I:$I,0),1),
IF(AND(AU300="Không CC",I300&lt;&gt;1),"Ro:8","")))</f>
        <v/>
      </c>
      <c r="AL300" s="102" t="str">
        <f t="shared" si="419"/>
        <v/>
      </c>
      <c r="AM300" s="102" t="str">
        <f t="shared" si="477"/>
        <v>X:8</v>
      </c>
      <c r="AN300" s="102" t="s">
        <v>92</v>
      </c>
      <c r="AO300" s="102"/>
      <c r="AP300" s="115">
        <f>IFERROR(VLOOKUP(AN300,'Quy đổi công'!A:D,3,0),0)</f>
        <v>1</v>
      </c>
      <c r="AQ300" s="115">
        <f>IFERROR(VLOOKUP(AN300,'Quy đổi công'!A:D,4,0),0)</f>
        <v>0</v>
      </c>
      <c r="AR300" s="115">
        <f t="shared" si="420"/>
        <v>0</v>
      </c>
      <c r="AS300" s="115">
        <f t="shared" si="478"/>
        <v>1</v>
      </c>
      <c r="AT300" s="115">
        <f t="shared" si="479"/>
        <v>0</v>
      </c>
      <c r="AU300" s="102" t="str">
        <f t="shared" si="421"/>
        <v/>
      </c>
      <c r="AV300" s="102" t="str">
        <f t="shared" si="422"/>
        <v/>
      </c>
      <c r="AW300" s="102" t="str">
        <f t="shared" si="423"/>
        <v/>
      </c>
      <c r="AX300" s="102" t="str">
        <f t="shared" si="424"/>
        <v/>
      </c>
      <c r="AY300" s="102" t="str">
        <f t="shared" si="425"/>
        <v/>
      </c>
      <c r="AZ300" s="102"/>
      <c r="BA300" s="102">
        <f>IF(AV300&lt;&gt;0,COUNTIFS($A$7:A300,A300,$AV$7:AV300,"Quên check in"))
+IF(AW300&lt;&gt;0,COUNTIFS($A$7:A300,A300,$AW$7:AW300,"Quên check in"))
+IF(AX300&lt;&gt;0,COUNTIFS($A$7:A300,A300,$AX$7:AX300,"Quên check out"))
+IF(AY300&lt;&gt;0,COUNTIFS($A$7:A300,A300,$AY$7:AY300,"Quên check out"))</f>
        <v>0</v>
      </c>
      <c r="BB300" s="143">
        <f t="shared" si="426"/>
        <v>0</v>
      </c>
    </row>
    <row r="301" spans="1:54" s="83" customFormat="1" ht="14.1" customHeight="1" x14ac:dyDescent="0.3">
      <c r="A301" s="103" t="s">
        <v>8</v>
      </c>
      <c r="B301" s="104" t="s">
        <v>17</v>
      </c>
      <c r="C301" s="105">
        <v>5000000</v>
      </c>
      <c r="D301" s="106">
        <v>43423</v>
      </c>
      <c r="E301" s="107">
        <v>43617</v>
      </c>
      <c r="F301" s="107">
        <v>73415</v>
      </c>
      <c r="G301" s="105">
        <v>26</v>
      </c>
      <c r="H301" s="105">
        <f t="shared" si="467"/>
        <v>7</v>
      </c>
      <c r="I301" s="105"/>
      <c r="J301" s="108">
        <v>43799</v>
      </c>
      <c r="K301" s="108" t="str">
        <f t="shared" si="468"/>
        <v>NV11343799VàoSáng</v>
      </c>
      <c r="L301" s="102" t="str">
        <f>IFERROR(VLOOKUP(K301,'1. Vân tay'!$F:$G,2,0),0)</f>
        <v>07:45:21</v>
      </c>
      <c r="M301" s="108" t="str">
        <f t="shared" si="469"/>
        <v>NV11343799RaSáng</v>
      </c>
      <c r="N301" s="102">
        <f>IFERROR(VLOOKUP(M301,'1. Vân tay'!$F:$G,2,0),0)</f>
        <v>0</v>
      </c>
      <c r="O301" s="108" t="str">
        <f t="shared" si="470"/>
        <v>NV11343799VàoChiều</v>
      </c>
      <c r="P301" s="102">
        <f>IFERROR(VLOOKUP(O301,'1. Vân tay'!$F:$G,2,0),0)</f>
        <v>0</v>
      </c>
      <c r="Q301" s="108" t="str">
        <f t="shared" si="471"/>
        <v>NV11343799RaChiều</v>
      </c>
      <c r="R301" s="102" t="str">
        <f>IFERROR(VLOOKUP(Q301,'1. Vân tay'!$F:$G,2,0),0)</f>
        <v>17:34:12</v>
      </c>
      <c r="S301" s="102">
        <f t="shared" si="472"/>
        <v>0</v>
      </c>
      <c r="T301" s="109">
        <v>0.33333333333333331</v>
      </c>
      <c r="U301" s="109">
        <v>0.5</v>
      </c>
      <c r="V301" s="109">
        <v>0.5625</v>
      </c>
      <c r="W301" s="109">
        <v>0.72916666666666663</v>
      </c>
      <c r="X301" s="102">
        <f>HDSD!$F$4</f>
        <v>5</v>
      </c>
      <c r="Y301" s="102">
        <f>SUMIFS('2. Đi muộn về sớm'!$K:$K,
'2. Đi muộn về sớm'!$B:$B,$A301,
'2. Đi muộn về sớm'!$D:$D,$J301)</f>
        <v>0</v>
      </c>
      <c r="Z301" s="110">
        <f t="shared" si="473"/>
        <v>0</v>
      </c>
      <c r="AA301" s="110">
        <f t="shared" si="474"/>
        <v>0</v>
      </c>
      <c r="AB301" s="111">
        <f t="shared" si="475"/>
        <v>0</v>
      </c>
      <c r="AC301" s="112">
        <f t="shared" si="413"/>
        <v>0</v>
      </c>
      <c r="AD301" s="113">
        <f t="shared" si="414"/>
        <v>0</v>
      </c>
      <c r="AE301" s="111">
        <f t="shared" si="476"/>
        <v>0</v>
      </c>
      <c r="AF301" s="113">
        <f t="shared" si="415"/>
        <v>0</v>
      </c>
      <c r="AG301" s="113">
        <f t="shared" si="416"/>
        <v>0</v>
      </c>
      <c r="AH301" s="114">
        <f t="shared" si="453"/>
        <v>9.8141666666666669</v>
      </c>
      <c r="AI301" s="102" t="str">
        <f t="shared" si="417"/>
        <v>X:8</v>
      </c>
      <c r="AJ301" s="102" t="str">
        <f t="shared" si="418"/>
        <v>NV11343799</v>
      </c>
      <c r="AK301" s="102" t="str">
        <f>IF(OR(J301&lt;D301,J301&gt;F301),"",
IFERROR(INDEX('3. Đơn xin nghỉ'!$K:$K,MATCH('4. Tổng hợp dữ liệu'!AJ301,'3. Đơn xin nghỉ'!$I:$I,0),1),
IF(AND(AU301="Không CC",I301&lt;&gt;1),"Ro:8","")))</f>
        <v/>
      </c>
      <c r="AL301" s="102" t="str">
        <f t="shared" si="419"/>
        <v/>
      </c>
      <c r="AM301" s="102" t="str">
        <f t="shared" si="477"/>
        <v>X:8</v>
      </c>
      <c r="AN301" s="102" t="s">
        <v>92</v>
      </c>
      <c r="AO301" s="102"/>
      <c r="AP301" s="115">
        <f>IFERROR(VLOOKUP(AN301,'Quy đổi công'!A:D,3,0),0)</f>
        <v>1</v>
      </c>
      <c r="AQ301" s="115">
        <f>IFERROR(VLOOKUP(AN301,'Quy đổi công'!A:D,4,0),0)</f>
        <v>0</v>
      </c>
      <c r="AR301" s="115">
        <f t="shared" si="420"/>
        <v>0</v>
      </c>
      <c r="AS301" s="115">
        <f t="shared" si="478"/>
        <v>1</v>
      </c>
      <c r="AT301" s="115">
        <f t="shared" si="479"/>
        <v>0</v>
      </c>
      <c r="AU301" s="102" t="str">
        <f t="shared" si="421"/>
        <v/>
      </c>
      <c r="AV301" s="102" t="str">
        <f t="shared" si="422"/>
        <v/>
      </c>
      <c r="AW301" s="102" t="str">
        <f t="shared" si="423"/>
        <v/>
      </c>
      <c r="AX301" s="102" t="str">
        <f t="shared" si="424"/>
        <v/>
      </c>
      <c r="AY301" s="102" t="str">
        <f t="shared" si="425"/>
        <v/>
      </c>
      <c r="AZ301" s="102"/>
      <c r="BA301" s="102">
        <f>IF(AV301&lt;&gt;0,COUNTIFS($A$7:A301,A301,$AV$7:AV301,"Quên check in"))
+IF(AW301&lt;&gt;0,COUNTIFS($A$7:A301,A301,$AW$7:AW301,"Quên check in"))
+IF(AX301&lt;&gt;0,COUNTIFS($A$7:A301,A301,$AX$7:AX301,"Quên check out"))
+IF(AY301&lt;&gt;0,COUNTIFS($A$7:A301,A301,$AY$7:AY301,"Quên check out"))</f>
        <v>1</v>
      </c>
      <c r="BB301" s="143">
        <f t="shared" si="426"/>
        <v>0</v>
      </c>
    </row>
    <row r="302" spans="1:54" s="83" customFormat="1" ht="14.1" customHeight="1" x14ac:dyDescent="0.3">
      <c r="A302" s="103" t="s">
        <v>9</v>
      </c>
      <c r="B302" s="104" t="s">
        <v>18</v>
      </c>
      <c r="C302" s="105">
        <v>4900000</v>
      </c>
      <c r="D302" s="106">
        <v>43437</v>
      </c>
      <c r="E302" s="107">
        <v>43617</v>
      </c>
      <c r="F302" s="107">
        <v>73415</v>
      </c>
      <c r="G302" s="105">
        <v>26</v>
      </c>
      <c r="H302" s="105">
        <f t="shared" si="467"/>
        <v>7</v>
      </c>
      <c r="I302" s="105"/>
      <c r="J302" s="108">
        <v>43799</v>
      </c>
      <c r="K302" s="108" t="str">
        <f t="shared" si="468"/>
        <v>NV11443799VàoSáng</v>
      </c>
      <c r="L302" s="102" t="str">
        <f>IFERROR(VLOOKUP(K302,'1. Vân tay'!$F:$G,2,0),0)</f>
        <v>08:06:17</v>
      </c>
      <c r="M302" s="108" t="str">
        <f t="shared" si="469"/>
        <v>NV11443799RaSáng</v>
      </c>
      <c r="N302" s="102">
        <f>IFERROR(VLOOKUP(M302,'1. Vân tay'!$F:$G,2,0),0)</f>
        <v>0</v>
      </c>
      <c r="O302" s="108" t="str">
        <f t="shared" si="470"/>
        <v>NV11443799VàoChiều</v>
      </c>
      <c r="P302" s="102">
        <f>IFERROR(VLOOKUP(O302,'1. Vân tay'!$F:$G,2,0),0)</f>
        <v>0</v>
      </c>
      <c r="Q302" s="108" t="str">
        <f t="shared" si="471"/>
        <v>NV11443799RaChiều</v>
      </c>
      <c r="R302" s="102" t="str">
        <f>IFERROR(VLOOKUP(Q302,'1. Vân tay'!$F:$G,2,0),0)</f>
        <v>17:32:35</v>
      </c>
      <c r="S302" s="102">
        <f t="shared" si="472"/>
        <v>0</v>
      </c>
      <c r="T302" s="109">
        <v>0.33333333333333331</v>
      </c>
      <c r="U302" s="109">
        <v>0.5</v>
      </c>
      <c r="V302" s="109">
        <v>0.5625</v>
      </c>
      <c r="W302" s="109">
        <v>0.72916666666666663</v>
      </c>
      <c r="X302" s="102">
        <f>HDSD!$F$4</f>
        <v>5</v>
      </c>
      <c r="Y302" s="102">
        <f>SUMIFS('2. Đi muộn về sớm'!$K:$K,
'2. Đi muộn về sớm'!$B:$B,$A302,
'2. Đi muộn về sớm'!$D:$D,$J302)</f>
        <v>0</v>
      </c>
      <c r="Z302" s="110">
        <f t="shared" si="473"/>
        <v>6.2833333333333332</v>
      </c>
      <c r="AA302" s="110">
        <f t="shared" si="474"/>
        <v>0</v>
      </c>
      <c r="AB302" s="111">
        <f t="shared" si="475"/>
        <v>6.2833333333333332</v>
      </c>
      <c r="AC302" s="112">
        <f t="shared" si="413"/>
        <v>1.2833333333333332</v>
      </c>
      <c r="AD302" s="113">
        <f t="shared" si="414"/>
        <v>2566.6666666666665</v>
      </c>
      <c r="AE302" s="111">
        <f t="shared" si="476"/>
        <v>0</v>
      </c>
      <c r="AF302" s="113">
        <f t="shared" si="415"/>
        <v>0</v>
      </c>
      <c r="AG302" s="113">
        <f t="shared" si="416"/>
        <v>2566.6666666666665</v>
      </c>
      <c r="AH302" s="114">
        <f t="shared" si="453"/>
        <v>9.4383333333333344</v>
      </c>
      <c r="AI302" s="102" t="str">
        <f t="shared" si="417"/>
        <v>X:8</v>
      </c>
      <c r="AJ302" s="102" t="str">
        <f t="shared" si="418"/>
        <v>NV11443799</v>
      </c>
      <c r="AK302" s="102" t="str">
        <f>IF(OR(J302&lt;D302,J302&gt;F302),"",
IFERROR(INDEX('3. Đơn xin nghỉ'!$K:$K,MATCH('4. Tổng hợp dữ liệu'!AJ302,'3. Đơn xin nghỉ'!$I:$I,0),1),
IF(AND(AU302="Không CC",I302&lt;&gt;1),"Ro:8","")))</f>
        <v/>
      </c>
      <c r="AL302" s="102" t="str">
        <f t="shared" si="419"/>
        <v/>
      </c>
      <c r="AM302" s="102" t="str">
        <f t="shared" si="477"/>
        <v>X:8</v>
      </c>
      <c r="AN302" s="102" t="s">
        <v>92</v>
      </c>
      <c r="AO302" s="102"/>
      <c r="AP302" s="115">
        <f>IFERROR(VLOOKUP(AN302,'Quy đổi công'!A:D,3,0),0)</f>
        <v>1</v>
      </c>
      <c r="AQ302" s="115">
        <f>IFERROR(VLOOKUP(AN302,'Quy đổi công'!A:D,4,0),0)</f>
        <v>0</v>
      </c>
      <c r="AR302" s="115">
        <f t="shared" si="420"/>
        <v>0</v>
      </c>
      <c r="AS302" s="115">
        <f t="shared" si="478"/>
        <v>1</v>
      </c>
      <c r="AT302" s="115">
        <f t="shared" si="479"/>
        <v>0</v>
      </c>
      <c r="AU302" s="102" t="str">
        <f t="shared" si="421"/>
        <v/>
      </c>
      <c r="AV302" s="102" t="str">
        <f t="shared" si="422"/>
        <v/>
      </c>
      <c r="AW302" s="102" t="str">
        <f t="shared" si="423"/>
        <v/>
      </c>
      <c r="AX302" s="102" t="str">
        <f t="shared" si="424"/>
        <v/>
      </c>
      <c r="AY302" s="102" t="str">
        <f t="shared" si="425"/>
        <v/>
      </c>
      <c r="AZ302" s="102"/>
      <c r="BA302" s="102">
        <f>IF(AV302&lt;&gt;0,COUNTIFS($A$7:A302,A302,$AV$7:AV302,"Quên check in"))
+IF(AW302&lt;&gt;0,COUNTIFS($A$7:A302,A302,$AW$7:AW302,"Quên check in"))
+IF(AX302&lt;&gt;0,COUNTIFS($A$7:A302,A302,$AX$7:AX302,"Quên check out"))
+IF(AY302&lt;&gt;0,COUNTIFS($A$7:A302,A302,$AY$7:AY302,"Quên check out"))</f>
        <v>2</v>
      </c>
      <c r="BB302" s="143">
        <f t="shared" si="426"/>
        <v>0</v>
      </c>
    </row>
    <row r="303" spans="1:54" s="83" customFormat="1" ht="14.1" customHeight="1" x14ac:dyDescent="0.3">
      <c r="A303" s="103" t="s">
        <v>10</v>
      </c>
      <c r="B303" s="104" t="s">
        <v>19</v>
      </c>
      <c r="C303" s="105">
        <v>5000000</v>
      </c>
      <c r="D303" s="106">
        <v>43445</v>
      </c>
      <c r="E303" s="107">
        <v>43647</v>
      </c>
      <c r="F303" s="107">
        <v>73415</v>
      </c>
      <c r="G303" s="105">
        <v>26</v>
      </c>
      <c r="H303" s="105">
        <f t="shared" si="467"/>
        <v>7</v>
      </c>
      <c r="I303" s="105"/>
      <c r="J303" s="108">
        <v>43799</v>
      </c>
      <c r="K303" s="108" t="str">
        <f t="shared" si="468"/>
        <v>NV11843799VàoSáng</v>
      </c>
      <c r="L303" s="102">
        <f>IFERROR(VLOOKUP(K303,'1. Vân tay'!$F:$G,2,0),0)</f>
        <v>0</v>
      </c>
      <c r="M303" s="108" t="str">
        <f t="shared" si="469"/>
        <v>NV11843799RaSáng</v>
      </c>
      <c r="N303" s="102">
        <f>IFERROR(VLOOKUP(M303,'1. Vân tay'!$F:$G,2,0),0)</f>
        <v>0</v>
      </c>
      <c r="O303" s="108" t="str">
        <f t="shared" si="470"/>
        <v>NV11843799VàoChiều</v>
      </c>
      <c r="P303" s="102" t="str">
        <f>IFERROR(VLOOKUP(O303,'1. Vân tay'!$F:$G,2,0),0)</f>
        <v>13:21:46</v>
      </c>
      <c r="Q303" s="108" t="str">
        <f t="shared" si="471"/>
        <v>NV11843799RaChiều</v>
      </c>
      <c r="R303" s="102" t="str">
        <f>IFERROR(VLOOKUP(Q303,'1. Vân tay'!$F:$G,2,0),0)</f>
        <v>17:43:19</v>
      </c>
      <c r="S303" s="102">
        <f t="shared" si="472"/>
        <v>0</v>
      </c>
      <c r="T303" s="109">
        <v>0.33333333333333331</v>
      </c>
      <c r="U303" s="109">
        <v>0.5</v>
      </c>
      <c r="V303" s="109">
        <v>0.5625</v>
      </c>
      <c r="W303" s="109">
        <v>0.72916666666666663</v>
      </c>
      <c r="X303" s="102">
        <f>HDSD!$F$4</f>
        <v>5</v>
      </c>
      <c r="Y303" s="102">
        <f>SUMIFS('2. Đi muộn về sớm'!$K:$K,
'2. Đi muộn về sớm'!$B:$B,$A303,
'2. Đi muộn về sớm'!$D:$D,$J303)</f>
        <v>0</v>
      </c>
      <c r="Z303" s="110">
        <f t="shared" si="473"/>
        <v>0</v>
      </c>
      <c r="AA303" s="110">
        <f t="shared" si="474"/>
        <v>0</v>
      </c>
      <c r="AB303" s="111">
        <f t="shared" si="475"/>
        <v>0</v>
      </c>
      <c r="AC303" s="112">
        <f t="shared" si="413"/>
        <v>0</v>
      </c>
      <c r="AD303" s="113">
        <f t="shared" si="414"/>
        <v>0</v>
      </c>
      <c r="AE303" s="111">
        <f t="shared" si="476"/>
        <v>0</v>
      </c>
      <c r="AF303" s="113">
        <f t="shared" si="415"/>
        <v>0</v>
      </c>
      <c r="AG303" s="113">
        <f t="shared" si="416"/>
        <v>0</v>
      </c>
      <c r="AH303" s="114">
        <f t="shared" si="453"/>
        <v>4.359166666666666</v>
      </c>
      <c r="AI303" s="102" t="str">
        <f t="shared" si="417"/>
        <v>X:4</v>
      </c>
      <c r="AJ303" s="102" t="str">
        <f t="shared" si="418"/>
        <v>NV11843799</v>
      </c>
      <c r="AK303" s="102" t="str">
        <f>IF(OR(J303&lt;D303,J303&gt;F303),"",
IFERROR(INDEX('3. Đơn xin nghỉ'!$K:$K,MATCH('4. Tổng hợp dữ liệu'!AJ303,'3. Đơn xin nghỉ'!$I:$I,0),1),
IF(AND(AU303="Không CC",I303&lt;&gt;1),"Ro:8","")))</f>
        <v>P:4</v>
      </c>
      <c r="AL303" s="102" t="str">
        <f t="shared" si="419"/>
        <v/>
      </c>
      <c r="AM303" s="102" t="str">
        <f t="shared" si="477"/>
        <v>X:4,P:4</v>
      </c>
      <c r="AN303" s="102" t="s">
        <v>137</v>
      </c>
      <c r="AO303" s="102"/>
      <c r="AP303" s="115">
        <f>IFERROR(VLOOKUP(AN303,'Quy đổi công'!A:D,3,0),0)</f>
        <v>1</v>
      </c>
      <c r="AQ303" s="115">
        <f>IFERROR(VLOOKUP(AN303,'Quy đổi công'!A:D,4,0),0)</f>
        <v>0</v>
      </c>
      <c r="AR303" s="115">
        <f t="shared" si="420"/>
        <v>0</v>
      </c>
      <c r="AS303" s="115">
        <f t="shared" si="478"/>
        <v>1</v>
      </c>
      <c r="AT303" s="115">
        <f t="shared" si="479"/>
        <v>0.5</v>
      </c>
      <c r="AU303" s="102" t="str">
        <f t="shared" si="421"/>
        <v/>
      </c>
      <c r="AV303" s="102" t="str">
        <f t="shared" si="422"/>
        <v/>
      </c>
      <c r="AW303" s="102" t="str">
        <f t="shared" si="423"/>
        <v/>
      </c>
      <c r="AX303" s="102" t="str">
        <f t="shared" si="424"/>
        <v/>
      </c>
      <c r="AY303" s="102" t="str">
        <f t="shared" si="425"/>
        <v/>
      </c>
      <c r="AZ303" s="102"/>
      <c r="BA303" s="102">
        <f>IF(AV303&lt;&gt;0,COUNTIFS($A$7:A303,A303,$AV$7:AV303,"Quên check in"))
+IF(AW303&lt;&gt;0,COUNTIFS($A$7:A303,A303,$AW$7:AW303,"Quên check in"))
+IF(AX303&lt;&gt;0,COUNTIFS($A$7:A303,A303,$AX$7:AX303,"Quên check out"))
+IF(AY303&lt;&gt;0,COUNTIFS($A$7:A303,A303,$AY$7:AY303,"Quên check out"))</f>
        <v>1</v>
      </c>
      <c r="BB303" s="143">
        <f t="shared" si="426"/>
        <v>0</v>
      </c>
    </row>
    <row r="304" spans="1:54" s="83" customFormat="1" ht="14.1" customHeight="1" x14ac:dyDescent="0.3">
      <c r="A304" s="103" t="s">
        <v>11</v>
      </c>
      <c r="B304" s="104" t="s">
        <v>20</v>
      </c>
      <c r="C304" s="105">
        <v>4700000</v>
      </c>
      <c r="D304" s="106">
        <v>43467</v>
      </c>
      <c r="E304" s="107">
        <v>43617</v>
      </c>
      <c r="F304" s="107">
        <v>73415</v>
      </c>
      <c r="G304" s="105">
        <v>26</v>
      </c>
      <c r="H304" s="105">
        <f t="shared" si="467"/>
        <v>7</v>
      </c>
      <c r="I304" s="105"/>
      <c r="J304" s="108">
        <v>43799</v>
      </c>
      <c r="K304" s="108" t="str">
        <f t="shared" si="468"/>
        <v>NV12243799VàoSáng</v>
      </c>
      <c r="L304" s="102" t="str">
        <f>IFERROR(VLOOKUP(K304,'1. Vân tay'!$F:$G,2,0),0)</f>
        <v>07:52:40</v>
      </c>
      <c r="M304" s="108" t="str">
        <f t="shared" si="469"/>
        <v>NV12243799RaSáng</v>
      </c>
      <c r="N304" s="102">
        <f>IFERROR(VLOOKUP(M304,'1. Vân tay'!$F:$G,2,0),0)</f>
        <v>0</v>
      </c>
      <c r="O304" s="108" t="str">
        <f t="shared" si="470"/>
        <v>NV12243799VàoChiều</v>
      </c>
      <c r="P304" s="102">
        <f>IFERROR(VLOOKUP(O304,'1. Vân tay'!$F:$G,2,0),0)</f>
        <v>0</v>
      </c>
      <c r="Q304" s="108" t="str">
        <f t="shared" si="471"/>
        <v>NV12243799RaChiều</v>
      </c>
      <c r="R304" s="102" t="str">
        <f>IFERROR(VLOOKUP(Q304,'1. Vân tay'!$F:$G,2,0),0)</f>
        <v>17:32:29</v>
      </c>
      <c r="S304" s="102">
        <f t="shared" si="472"/>
        <v>0</v>
      </c>
      <c r="T304" s="109">
        <v>0.33333333333333331</v>
      </c>
      <c r="U304" s="109">
        <v>0.5</v>
      </c>
      <c r="V304" s="109">
        <v>0.5625</v>
      </c>
      <c r="W304" s="109">
        <v>0.72916666666666663</v>
      </c>
      <c r="X304" s="102">
        <f>HDSD!$F$4</f>
        <v>5</v>
      </c>
      <c r="Y304" s="102">
        <f>SUMIFS('2. Đi muộn về sớm'!$K:$K,
'2. Đi muộn về sớm'!$B:$B,$A304,
'2. Đi muộn về sớm'!$D:$D,$J304)</f>
        <v>0</v>
      </c>
      <c r="Z304" s="110">
        <f t="shared" si="473"/>
        <v>0</v>
      </c>
      <c r="AA304" s="110">
        <f t="shared" si="474"/>
        <v>0</v>
      </c>
      <c r="AB304" s="111">
        <f t="shared" si="475"/>
        <v>0</v>
      </c>
      <c r="AC304" s="112">
        <f t="shared" si="413"/>
        <v>0</v>
      </c>
      <c r="AD304" s="113">
        <f t="shared" si="414"/>
        <v>0</v>
      </c>
      <c r="AE304" s="111">
        <f t="shared" si="476"/>
        <v>0</v>
      </c>
      <c r="AF304" s="113">
        <f t="shared" si="415"/>
        <v>0</v>
      </c>
      <c r="AG304" s="113">
        <f t="shared" si="416"/>
        <v>0</v>
      </c>
      <c r="AH304" s="114">
        <f t="shared" si="453"/>
        <v>9.6636111111111109</v>
      </c>
      <c r="AI304" s="102" t="str">
        <f t="shared" si="417"/>
        <v>X:8</v>
      </c>
      <c r="AJ304" s="102" t="str">
        <f t="shared" si="418"/>
        <v>NV12243799</v>
      </c>
      <c r="AK304" s="102" t="str">
        <f>IF(OR(J304&lt;D304,J304&gt;F304),"",
IFERROR(INDEX('3. Đơn xin nghỉ'!$K:$K,MATCH('4. Tổng hợp dữ liệu'!AJ304,'3. Đơn xin nghỉ'!$I:$I,0),1),
IF(AND(AU304="Không CC",I304&lt;&gt;1),"Ro:8","")))</f>
        <v/>
      </c>
      <c r="AL304" s="102" t="str">
        <f t="shared" si="419"/>
        <v/>
      </c>
      <c r="AM304" s="102" t="str">
        <f t="shared" si="477"/>
        <v>X:8</v>
      </c>
      <c r="AN304" s="102" t="s">
        <v>92</v>
      </c>
      <c r="AO304" s="102"/>
      <c r="AP304" s="115">
        <f>IFERROR(VLOOKUP(AN304,'Quy đổi công'!A:D,3,0),0)</f>
        <v>1</v>
      </c>
      <c r="AQ304" s="115">
        <f>IFERROR(VLOOKUP(AN304,'Quy đổi công'!A:D,4,0),0)</f>
        <v>0</v>
      </c>
      <c r="AR304" s="115">
        <f t="shared" si="420"/>
        <v>0</v>
      </c>
      <c r="AS304" s="115">
        <f t="shared" si="478"/>
        <v>1</v>
      </c>
      <c r="AT304" s="115">
        <f t="shared" si="479"/>
        <v>0</v>
      </c>
      <c r="AU304" s="102" t="str">
        <f t="shared" si="421"/>
        <v/>
      </c>
      <c r="AV304" s="102" t="str">
        <f t="shared" si="422"/>
        <v/>
      </c>
      <c r="AW304" s="102" t="str">
        <f t="shared" si="423"/>
        <v/>
      </c>
      <c r="AX304" s="102" t="str">
        <f t="shared" si="424"/>
        <v/>
      </c>
      <c r="AY304" s="102" t="str">
        <f t="shared" si="425"/>
        <v/>
      </c>
      <c r="AZ304" s="102"/>
      <c r="BA304" s="102">
        <f>IF(AV304&lt;&gt;0,COUNTIFS($A$7:A304,A304,$AV$7:AV304,"Quên check in"))
+IF(AW304&lt;&gt;0,COUNTIFS($A$7:A304,A304,$AW$7:AW304,"Quên check in"))
+IF(AX304&lt;&gt;0,COUNTIFS($A$7:A304,A304,$AX$7:AX304,"Quên check out"))
+IF(AY304&lt;&gt;0,COUNTIFS($A$7:A304,A304,$AY$7:AY304,"Quên check out"))</f>
        <v>1</v>
      </c>
      <c r="BB304" s="143">
        <f t="shared" si="426"/>
        <v>0</v>
      </c>
    </row>
    <row r="305" spans="1:54" s="83" customFormat="1" ht="14.1" customHeight="1" x14ac:dyDescent="0.3">
      <c r="A305" s="103" t="s">
        <v>12</v>
      </c>
      <c r="B305" s="104" t="s">
        <v>21</v>
      </c>
      <c r="C305" s="105">
        <v>5000000</v>
      </c>
      <c r="D305" s="106">
        <v>43482</v>
      </c>
      <c r="E305" s="107">
        <v>43647</v>
      </c>
      <c r="F305" s="107">
        <v>73415</v>
      </c>
      <c r="G305" s="105">
        <v>26</v>
      </c>
      <c r="H305" s="105">
        <f t="shared" si="467"/>
        <v>7</v>
      </c>
      <c r="I305" s="105"/>
      <c r="J305" s="108">
        <v>43799</v>
      </c>
      <c r="K305" s="108" t="str">
        <f t="shared" si="468"/>
        <v>NV12343799VàoSáng</v>
      </c>
      <c r="L305" s="102" t="str">
        <f>IFERROR(VLOOKUP(K305,'1. Vân tay'!$F:$G,2,0),0)</f>
        <v>07:51:52</v>
      </c>
      <c r="M305" s="108" t="str">
        <f t="shared" si="469"/>
        <v>NV12343799RaSáng</v>
      </c>
      <c r="N305" s="102">
        <f>IFERROR(VLOOKUP(M305,'1. Vân tay'!$F:$G,2,0),0)</f>
        <v>0</v>
      </c>
      <c r="O305" s="108" t="str">
        <f t="shared" si="470"/>
        <v>NV12343799VàoChiều</v>
      </c>
      <c r="P305" s="102">
        <f>IFERROR(VLOOKUP(O305,'1. Vân tay'!$F:$G,2,0),0)</f>
        <v>0</v>
      </c>
      <c r="Q305" s="108" t="str">
        <f t="shared" si="471"/>
        <v>NV12343799RaChiều</v>
      </c>
      <c r="R305" s="102" t="str">
        <f>IFERROR(VLOOKUP(Q305,'1. Vân tay'!$F:$G,2,0),0)</f>
        <v>17:32:37</v>
      </c>
      <c r="S305" s="102">
        <f t="shared" si="472"/>
        <v>0</v>
      </c>
      <c r="T305" s="109">
        <v>0.33333333333333331</v>
      </c>
      <c r="U305" s="109">
        <v>0.5</v>
      </c>
      <c r="V305" s="109">
        <v>0.5625</v>
      </c>
      <c r="W305" s="109">
        <v>0.72916666666666663</v>
      </c>
      <c r="X305" s="102">
        <f>HDSD!$F$4</f>
        <v>5</v>
      </c>
      <c r="Y305" s="102">
        <f>SUMIFS('2. Đi muộn về sớm'!$K:$K,
'2. Đi muộn về sớm'!$B:$B,$A305,
'2. Đi muộn về sớm'!$D:$D,$J305)</f>
        <v>0</v>
      </c>
      <c r="Z305" s="110">
        <f t="shared" si="473"/>
        <v>0</v>
      </c>
      <c r="AA305" s="110">
        <f t="shared" si="474"/>
        <v>0</v>
      </c>
      <c r="AB305" s="111">
        <f t="shared" si="475"/>
        <v>0</v>
      </c>
      <c r="AC305" s="112">
        <f t="shared" si="413"/>
        <v>0</v>
      </c>
      <c r="AD305" s="113">
        <f t="shared" si="414"/>
        <v>0</v>
      </c>
      <c r="AE305" s="111">
        <f t="shared" si="476"/>
        <v>0</v>
      </c>
      <c r="AF305" s="113">
        <f t="shared" si="415"/>
        <v>0</v>
      </c>
      <c r="AG305" s="113">
        <f t="shared" si="416"/>
        <v>0</v>
      </c>
      <c r="AH305" s="114">
        <f t="shared" si="453"/>
        <v>9.6791666666666654</v>
      </c>
      <c r="AI305" s="102" t="str">
        <f t="shared" si="417"/>
        <v>X:8</v>
      </c>
      <c r="AJ305" s="102" t="str">
        <f t="shared" si="418"/>
        <v>NV12343799</v>
      </c>
      <c r="AK305" s="102" t="str">
        <f>IF(OR(J305&lt;D305,J305&gt;F305),"",
IFERROR(INDEX('3. Đơn xin nghỉ'!$K:$K,MATCH('4. Tổng hợp dữ liệu'!AJ305,'3. Đơn xin nghỉ'!$I:$I,0),1),
IF(AND(AU305="Không CC",I305&lt;&gt;1),"Ro:8","")))</f>
        <v/>
      </c>
      <c r="AL305" s="102" t="str">
        <f t="shared" si="419"/>
        <v/>
      </c>
      <c r="AM305" s="102" t="str">
        <f t="shared" si="477"/>
        <v>X:8</v>
      </c>
      <c r="AN305" s="102" t="s">
        <v>92</v>
      </c>
      <c r="AO305" s="102"/>
      <c r="AP305" s="115">
        <f>IFERROR(VLOOKUP(AN305,'Quy đổi công'!A:D,3,0),0)</f>
        <v>1</v>
      </c>
      <c r="AQ305" s="115">
        <f>IFERROR(VLOOKUP(AN305,'Quy đổi công'!A:D,4,0),0)</f>
        <v>0</v>
      </c>
      <c r="AR305" s="115">
        <f t="shared" si="420"/>
        <v>0</v>
      </c>
      <c r="AS305" s="115">
        <f t="shared" si="478"/>
        <v>1</v>
      </c>
      <c r="AT305" s="115">
        <f t="shared" si="479"/>
        <v>0</v>
      </c>
      <c r="AU305" s="102" t="str">
        <f t="shared" si="421"/>
        <v/>
      </c>
      <c r="AV305" s="102" t="str">
        <f t="shared" si="422"/>
        <v/>
      </c>
      <c r="AW305" s="102" t="str">
        <f t="shared" si="423"/>
        <v/>
      </c>
      <c r="AX305" s="102" t="str">
        <f t="shared" si="424"/>
        <v/>
      </c>
      <c r="AY305" s="102" t="str">
        <f t="shared" si="425"/>
        <v/>
      </c>
      <c r="AZ305" s="102"/>
      <c r="BA305" s="102">
        <f>IF(AV305&lt;&gt;0,COUNTIFS($A$7:A305,A305,$AV$7:AV305,"Quên check in"))
+IF(AW305&lt;&gt;0,COUNTIFS($A$7:A305,A305,$AW$7:AW305,"Quên check in"))
+IF(AX305&lt;&gt;0,COUNTIFS($A$7:A305,A305,$AX$7:AX305,"Quên check out"))
+IF(AY305&lt;&gt;0,COUNTIFS($A$7:A305,A305,$AY$7:AY305,"Quên check out"))</f>
        <v>1</v>
      </c>
      <c r="BB305" s="143">
        <f t="shared" si="426"/>
        <v>0</v>
      </c>
    </row>
    <row r="306" spans="1:54" s="83" customFormat="1" ht="14.1" customHeight="1" x14ac:dyDescent="0.3">
      <c r="A306" s="103" t="s">
        <v>13</v>
      </c>
      <c r="B306" s="104" t="s">
        <v>22</v>
      </c>
      <c r="C306" s="105">
        <v>4700000</v>
      </c>
      <c r="D306" s="106">
        <v>43531</v>
      </c>
      <c r="E306" s="107">
        <v>43647</v>
      </c>
      <c r="F306" s="107">
        <v>73415</v>
      </c>
      <c r="G306" s="105">
        <v>26</v>
      </c>
      <c r="H306" s="105">
        <f t="shared" si="467"/>
        <v>7</v>
      </c>
      <c r="I306" s="105"/>
      <c r="J306" s="108">
        <v>43799</v>
      </c>
      <c r="K306" s="108" t="str">
        <f t="shared" si="468"/>
        <v>NV12643799VàoSáng</v>
      </c>
      <c r="L306" s="102" t="str">
        <f>IFERROR(VLOOKUP(K306,'1. Vân tay'!$F:$G,2,0),0)</f>
        <v>07:54:11</v>
      </c>
      <c r="M306" s="108" t="str">
        <f t="shared" si="469"/>
        <v>NV12643799RaSáng</v>
      </c>
      <c r="N306" s="102">
        <f>IFERROR(VLOOKUP(M306,'1. Vân tay'!$F:$G,2,0),0)</f>
        <v>0</v>
      </c>
      <c r="O306" s="108" t="str">
        <f t="shared" si="470"/>
        <v>NV12643799VàoChiều</v>
      </c>
      <c r="P306" s="102">
        <f>IFERROR(VLOOKUP(O306,'1. Vân tay'!$F:$G,2,0),0)</f>
        <v>0</v>
      </c>
      <c r="Q306" s="108" t="str">
        <f t="shared" si="471"/>
        <v>NV12643799RaChiều</v>
      </c>
      <c r="R306" s="102" t="str">
        <f>IFERROR(VLOOKUP(Q306,'1. Vân tay'!$F:$G,2,0),0)</f>
        <v>17:34:05</v>
      </c>
      <c r="S306" s="102">
        <f t="shared" si="472"/>
        <v>0</v>
      </c>
      <c r="T306" s="109">
        <v>0.33333333333333331</v>
      </c>
      <c r="U306" s="109">
        <v>0.5</v>
      </c>
      <c r="V306" s="109">
        <v>0.5625</v>
      </c>
      <c r="W306" s="109">
        <v>0.72916666666666663</v>
      </c>
      <c r="X306" s="102">
        <f>HDSD!$F$4</f>
        <v>5</v>
      </c>
      <c r="Y306" s="102">
        <f>SUMIFS('2. Đi muộn về sớm'!$K:$K,
'2. Đi muộn về sớm'!$B:$B,$A306,
'2. Đi muộn về sớm'!$D:$D,$J306)</f>
        <v>0</v>
      </c>
      <c r="Z306" s="110">
        <f t="shared" si="473"/>
        <v>0</v>
      </c>
      <c r="AA306" s="110">
        <f t="shared" si="474"/>
        <v>0</v>
      </c>
      <c r="AB306" s="111">
        <f t="shared" si="475"/>
        <v>0</v>
      </c>
      <c r="AC306" s="112">
        <f t="shared" si="413"/>
        <v>0</v>
      </c>
      <c r="AD306" s="113">
        <f t="shared" si="414"/>
        <v>0</v>
      </c>
      <c r="AE306" s="111">
        <f t="shared" si="476"/>
        <v>0</v>
      </c>
      <c r="AF306" s="113">
        <f t="shared" si="415"/>
        <v>0</v>
      </c>
      <c r="AG306" s="113">
        <f t="shared" si="416"/>
        <v>0</v>
      </c>
      <c r="AH306" s="114">
        <f t="shared" si="453"/>
        <v>9.6650000000000009</v>
      </c>
      <c r="AI306" s="102" t="str">
        <f t="shared" si="417"/>
        <v>X:8</v>
      </c>
      <c r="AJ306" s="102" t="str">
        <f t="shared" si="418"/>
        <v>NV12643799</v>
      </c>
      <c r="AK306" s="102" t="str">
        <f>IF(OR(J306&lt;D306,J306&gt;F306),"",
IFERROR(INDEX('3. Đơn xin nghỉ'!$K:$K,MATCH('4. Tổng hợp dữ liệu'!AJ306,'3. Đơn xin nghỉ'!$I:$I,0),1),
IF(AND(AU306="Không CC",I306&lt;&gt;1),"Ro:8","")))</f>
        <v/>
      </c>
      <c r="AL306" s="102" t="str">
        <f t="shared" si="419"/>
        <v/>
      </c>
      <c r="AM306" s="102" t="str">
        <f t="shared" si="477"/>
        <v>X:8</v>
      </c>
      <c r="AN306" s="102" t="s">
        <v>92</v>
      </c>
      <c r="AO306" s="102"/>
      <c r="AP306" s="115">
        <f>IFERROR(VLOOKUP(AN306,'Quy đổi công'!A:D,3,0),0)</f>
        <v>1</v>
      </c>
      <c r="AQ306" s="115">
        <f>IFERROR(VLOOKUP(AN306,'Quy đổi công'!A:D,4,0),0)</f>
        <v>0</v>
      </c>
      <c r="AR306" s="115">
        <f t="shared" si="420"/>
        <v>0</v>
      </c>
      <c r="AS306" s="115">
        <f t="shared" si="478"/>
        <v>1</v>
      </c>
      <c r="AT306" s="115">
        <f t="shared" si="479"/>
        <v>0</v>
      </c>
      <c r="AU306" s="102" t="str">
        <f t="shared" si="421"/>
        <v/>
      </c>
      <c r="AV306" s="102" t="str">
        <f t="shared" si="422"/>
        <v/>
      </c>
      <c r="AW306" s="102" t="str">
        <f t="shared" si="423"/>
        <v/>
      </c>
      <c r="AX306" s="102" t="str">
        <f t="shared" si="424"/>
        <v/>
      </c>
      <c r="AY306" s="102" t="str">
        <f t="shared" si="425"/>
        <v/>
      </c>
      <c r="AZ306" s="102"/>
      <c r="BA306" s="102">
        <f>IF(AV306&lt;&gt;0,COUNTIFS($A$7:A306,A306,$AV$7:AV306,"Quên check in"))
+IF(AW306&lt;&gt;0,COUNTIFS($A$7:A306,A306,$AW$7:AW306,"Quên check in"))
+IF(AX306&lt;&gt;0,COUNTIFS($A$7:A306,A306,$AX$7:AX306,"Quên check out"))
+IF(AY306&lt;&gt;0,COUNTIFS($A$7:A306,A306,$AY$7:AY306,"Quên check out"))</f>
        <v>0</v>
      </c>
      <c r="BB306" s="143">
        <f t="shared" si="426"/>
        <v>0</v>
      </c>
    </row>
    <row r="308" spans="1:54" x14ac:dyDescent="0.25">
      <c r="AA308" s="8"/>
    </row>
  </sheetData>
  <autoFilter ref="A6:BC306" xr:uid="{640C078E-9A99-477E-9680-0F3F77731DE7}"/>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26"/>
  <sheetViews>
    <sheetView showZeros="0" zoomScale="85" zoomScaleNormal="85" workbookViewId="0">
      <selection activeCell="K6" sqref="K6"/>
    </sheetView>
  </sheetViews>
  <sheetFormatPr defaultColWidth="9.21875" defaultRowHeight="13.2" x14ac:dyDescent="0.25"/>
  <cols>
    <col min="1" max="1" width="5.5546875" style="12" customWidth="1"/>
    <col min="2" max="2" width="15.77734375" style="12" customWidth="1"/>
    <col min="3" max="3" width="20.44140625" style="12" customWidth="1"/>
    <col min="4" max="4" width="13.77734375" style="12" bestFit="1" customWidth="1"/>
    <col min="5" max="5" width="15.33203125" style="12" customWidth="1"/>
    <col min="6" max="6" width="20.77734375" style="12" customWidth="1"/>
    <col min="7" max="7" width="11.77734375" style="12" bestFit="1" customWidth="1"/>
    <col min="8" max="8" width="21.44140625" style="12" customWidth="1"/>
    <col min="9" max="9" width="15" style="12" customWidth="1"/>
    <col min="10" max="10" width="28.21875" style="12" customWidth="1"/>
    <col min="11" max="11" width="13.88671875" style="14" customWidth="1"/>
    <col min="12" max="14" width="14.44140625" style="12" customWidth="1"/>
    <col min="15" max="15" width="15.5546875" style="11" customWidth="1"/>
    <col min="16" max="16" width="17.77734375" style="11" customWidth="1"/>
    <col min="17" max="19" width="9.21875" style="11"/>
    <col min="20" max="20" width="11.21875" style="11" customWidth="1"/>
    <col min="21" max="21" width="12.77734375" style="11" bestFit="1" customWidth="1"/>
    <col min="22" max="16384" width="9.21875" style="11"/>
  </cols>
  <sheetData>
    <row r="1" spans="1:14" s="10" customFormat="1" ht="31.8" x14ac:dyDescent="0.3">
      <c r="A1" s="121" t="s">
        <v>183</v>
      </c>
      <c r="B1" s="16"/>
      <c r="C1" s="16"/>
      <c r="D1" s="16"/>
      <c r="E1" s="16"/>
      <c r="F1" s="16"/>
    </row>
    <row r="2" spans="1:14" s="10" customFormat="1" ht="20.25" customHeight="1" x14ac:dyDescent="0.3"/>
    <row r="3" spans="1:14" s="57" customFormat="1" ht="20.25" customHeight="1" x14ac:dyDescent="0.3">
      <c r="A3" s="122" t="s">
        <v>173</v>
      </c>
      <c r="B3" s="123" t="s">
        <v>91</v>
      </c>
      <c r="C3" s="123" t="s">
        <v>91</v>
      </c>
      <c r="D3" s="123" t="s">
        <v>91</v>
      </c>
      <c r="E3" s="124" t="s">
        <v>249</v>
      </c>
      <c r="F3" s="124" t="s">
        <v>249</v>
      </c>
      <c r="G3" s="123" t="s">
        <v>91</v>
      </c>
      <c r="H3" s="123" t="s">
        <v>91</v>
      </c>
      <c r="I3" s="122" t="s">
        <v>173</v>
      </c>
      <c r="J3" s="122" t="s">
        <v>173</v>
      </c>
      <c r="K3" s="122" t="s">
        <v>173</v>
      </c>
    </row>
    <row r="4" spans="1:14" s="57" customFormat="1" ht="20.25" customHeight="1" x14ac:dyDescent="0.3">
      <c r="A4" s="125"/>
      <c r="B4" s="125"/>
      <c r="C4" s="125"/>
      <c r="D4" s="125"/>
      <c r="E4" s="125"/>
      <c r="F4" s="125"/>
      <c r="G4" s="125"/>
      <c r="H4" s="125"/>
      <c r="I4" s="125"/>
      <c r="J4" s="125"/>
      <c r="K4" s="125"/>
    </row>
    <row r="5" spans="1:14" s="58" customFormat="1" ht="26.1" customHeight="1" x14ac:dyDescent="0.25">
      <c r="A5" s="126" t="s">
        <v>27</v>
      </c>
      <c r="B5" s="126" t="s">
        <v>32</v>
      </c>
      <c r="C5" s="126" t="s">
        <v>2</v>
      </c>
      <c r="D5" s="126" t="s">
        <v>288</v>
      </c>
      <c r="E5" s="126" t="s">
        <v>65</v>
      </c>
      <c r="F5" s="126" t="s">
        <v>66</v>
      </c>
      <c r="G5" s="131" t="s">
        <v>144</v>
      </c>
      <c r="H5" s="131" t="s">
        <v>52</v>
      </c>
      <c r="I5" s="131" t="s">
        <v>115</v>
      </c>
      <c r="J5" s="131" t="s">
        <v>286</v>
      </c>
      <c r="K5" s="131" t="s">
        <v>48</v>
      </c>
      <c r="L5" s="57"/>
      <c r="M5" s="57"/>
      <c r="N5" s="57"/>
    </row>
    <row r="6" spans="1:14" s="58" customFormat="1" ht="15.6" x14ac:dyDescent="0.25">
      <c r="A6" s="127">
        <f>ROW()-ROW($A$5)</f>
        <v>1</v>
      </c>
      <c r="B6" s="127" t="s">
        <v>5</v>
      </c>
      <c r="C6" s="128" t="s">
        <v>28</v>
      </c>
      <c r="D6" s="130">
        <v>43799</v>
      </c>
      <c r="E6" s="129">
        <v>0.5</v>
      </c>
      <c r="F6" s="142" t="s">
        <v>67</v>
      </c>
      <c r="G6" s="127" t="s">
        <v>5</v>
      </c>
      <c r="H6" s="127" t="s">
        <v>26</v>
      </c>
      <c r="I6" s="127" t="str">
        <f t="shared" ref="I6:I26" si="0">B6&amp;D6</f>
        <v>NV10743799</v>
      </c>
      <c r="J6" s="128" t="str">
        <f t="shared" ref="J6:J26" si="1">IF(E6=1,F6&amp;" cả ngày",F6&amp;" nửa ngày")</f>
        <v>Nghỉ phép nửa ngày</v>
      </c>
      <c r="K6" s="127" t="str">
        <f>HLOOKUP(J6,HDSD!$C$109:$L$110,2,0)</f>
        <v>P:4</v>
      </c>
      <c r="L6" s="59"/>
      <c r="M6" s="59"/>
      <c r="N6" s="59"/>
    </row>
    <row r="7" spans="1:14" s="58" customFormat="1" ht="15.6" x14ac:dyDescent="0.25">
      <c r="A7" s="127">
        <f t="shared" ref="A7:A26" si="2">ROW()-ROW($A$5)</f>
        <v>2</v>
      </c>
      <c r="B7" s="127" t="s">
        <v>10</v>
      </c>
      <c r="C7" s="128" t="s">
        <v>19</v>
      </c>
      <c r="D7" s="130">
        <v>43799</v>
      </c>
      <c r="E7" s="129">
        <v>0.5</v>
      </c>
      <c r="F7" s="142" t="s">
        <v>67</v>
      </c>
      <c r="G7" s="127" t="s">
        <v>10</v>
      </c>
      <c r="H7" s="127" t="s">
        <v>31</v>
      </c>
      <c r="I7" s="127" t="str">
        <f t="shared" si="0"/>
        <v>NV11843799</v>
      </c>
      <c r="J7" s="128" t="str">
        <f t="shared" si="1"/>
        <v>Nghỉ phép nửa ngày</v>
      </c>
      <c r="K7" s="127" t="str">
        <f>HLOOKUP(J7,HDSD!$C$109:$L$110,2,0)</f>
        <v>P:4</v>
      </c>
      <c r="L7" s="59"/>
      <c r="M7" s="59"/>
      <c r="N7" s="59"/>
    </row>
    <row r="8" spans="1:14" s="58" customFormat="1" ht="15.6" x14ac:dyDescent="0.25">
      <c r="A8" s="127">
        <f t="shared" si="2"/>
        <v>3</v>
      </c>
      <c r="B8" s="127" t="s">
        <v>5</v>
      </c>
      <c r="C8" s="128" t="s">
        <v>28</v>
      </c>
      <c r="D8" s="130">
        <v>43798</v>
      </c>
      <c r="E8" s="129">
        <v>0.5</v>
      </c>
      <c r="F8" s="142" t="s">
        <v>67</v>
      </c>
      <c r="G8" s="127" t="s">
        <v>5</v>
      </c>
      <c r="H8" s="127" t="s">
        <v>25</v>
      </c>
      <c r="I8" s="127" t="str">
        <f t="shared" si="0"/>
        <v>NV10743798</v>
      </c>
      <c r="J8" s="128" t="str">
        <f t="shared" si="1"/>
        <v>Nghỉ phép nửa ngày</v>
      </c>
      <c r="K8" s="127" t="str">
        <f>HLOOKUP(J8,HDSD!$C$109:$L$110,2,0)</f>
        <v>P:4</v>
      </c>
      <c r="L8" s="59"/>
      <c r="M8" s="59"/>
      <c r="N8" s="59"/>
    </row>
    <row r="9" spans="1:14" s="58" customFormat="1" ht="15.6" x14ac:dyDescent="0.3">
      <c r="A9" s="127">
        <f t="shared" si="2"/>
        <v>4</v>
      </c>
      <c r="B9" s="127" t="s">
        <v>12</v>
      </c>
      <c r="C9" s="128" t="s">
        <v>21</v>
      </c>
      <c r="D9" s="130">
        <v>43792</v>
      </c>
      <c r="E9" s="129">
        <v>0.5</v>
      </c>
      <c r="F9" s="142" t="s">
        <v>68</v>
      </c>
      <c r="G9" s="127" t="s">
        <v>12</v>
      </c>
      <c r="H9" s="127" t="s">
        <v>24</v>
      </c>
      <c r="I9" s="127" t="str">
        <f t="shared" si="0"/>
        <v>NV12343792</v>
      </c>
      <c r="J9" s="128" t="str">
        <f t="shared" si="1"/>
        <v>Nghỉ không lương nửa ngày</v>
      </c>
      <c r="K9" s="127" t="str">
        <f>HLOOKUP(J9,HDSD!$C$109:$L$110,2,0)</f>
        <v>Ro:4</v>
      </c>
      <c r="L9" s="59"/>
      <c r="M9"/>
      <c r="N9" s="59"/>
    </row>
    <row r="10" spans="1:14" s="58" customFormat="1" ht="15.6" x14ac:dyDescent="0.3">
      <c r="A10" s="127">
        <f t="shared" si="2"/>
        <v>5</v>
      </c>
      <c r="B10" s="127" t="s">
        <v>9</v>
      </c>
      <c r="C10" s="128" t="s">
        <v>18</v>
      </c>
      <c r="D10" s="130">
        <v>43789</v>
      </c>
      <c r="E10" s="129">
        <v>1</v>
      </c>
      <c r="F10" s="142" t="s">
        <v>68</v>
      </c>
      <c r="G10" s="127" t="s">
        <v>9</v>
      </c>
      <c r="H10" s="127" t="s">
        <v>26</v>
      </c>
      <c r="I10" s="127" t="str">
        <f t="shared" si="0"/>
        <v>NV11443789</v>
      </c>
      <c r="J10" s="128" t="str">
        <f t="shared" si="1"/>
        <v>Nghỉ không lương cả ngày</v>
      </c>
      <c r="K10" s="127" t="str">
        <f>HLOOKUP(J10,HDSD!$C$109:$L$110,2,0)</f>
        <v>Ro:8</v>
      </c>
      <c r="L10" s="59"/>
      <c r="M10"/>
      <c r="N10" s="59"/>
    </row>
    <row r="11" spans="1:14" s="58" customFormat="1" ht="15.6" x14ac:dyDescent="0.3">
      <c r="A11" s="127">
        <f t="shared" si="2"/>
        <v>6</v>
      </c>
      <c r="B11" s="127" t="s">
        <v>6</v>
      </c>
      <c r="C11" s="128" t="s">
        <v>15</v>
      </c>
      <c r="D11" s="130">
        <v>43788</v>
      </c>
      <c r="E11" s="129">
        <v>1</v>
      </c>
      <c r="F11" s="142" t="s">
        <v>67</v>
      </c>
      <c r="G11" s="127" t="s">
        <v>6</v>
      </c>
      <c r="H11" s="127" t="s">
        <v>26</v>
      </c>
      <c r="I11" s="127" t="str">
        <f t="shared" si="0"/>
        <v>NV10843788</v>
      </c>
      <c r="J11" s="128" t="str">
        <f t="shared" si="1"/>
        <v>Nghỉ phép cả ngày</v>
      </c>
      <c r="K11" s="127" t="str">
        <f>HLOOKUP(J11,HDSD!$C$109:$L$110,2,0)</f>
        <v>P:8</v>
      </c>
      <c r="L11" s="59"/>
      <c r="M11"/>
      <c r="N11" s="59"/>
    </row>
    <row r="12" spans="1:14" s="58" customFormat="1" ht="15.6" x14ac:dyDescent="0.3">
      <c r="A12" s="127">
        <f t="shared" si="2"/>
        <v>7</v>
      </c>
      <c r="B12" s="127" t="s">
        <v>5</v>
      </c>
      <c r="C12" s="128" t="s">
        <v>28</v>
      </c>
      <c r="D12" s="130">
        <v>43787</v>
      </c>
      <c r="E12" s="129">
        <v>0.5</v>
      </c>
      <c r="F12" s="142" t="s">
        <v>67</v>
      </c>
      <c r="G12" s="127" t="s">
        <v>5</v>
      </c>
      <c r="H12" s="127" t="s">
        <v>26</v>
      </c>
      <c r="I12" s="127" t="str">
        <f t="shared" si="0"/>
        <v>NV10743787</v>
      </c>
      <c r="J12" s="128" t="str">
        <f t="shared" si="1"/>
        <v>Nghỉ phép nửa ngày</v>
      </c>
      <c r="K12" s="127" t="str">
        <f>HLOOKUP(J12,HDSD!$C$109:$L$110,2,0)</f>
        <v>P:4</v>
      </c>
      <c r="L12" s="59"/>
      <c r="M12"/>
      <c r="N12" s="59"/>
    </row>
    <row r="13" spans="1:14" s="58" customFormat="1" ht="15.6" x14ac:dyDescent="0.3">
      <c r="A13" s="127">
        <f t="shared" si="2"/>
        <v>8</v>
      </c>
      <c r="B13" s="127" t="s">
        <v>6</v>
      </c>
      <c r="C13" s="128" t="s">
        <v>15</v>
      </c>
      <c r="D13" s="130">
        <v>43787</v>
      </c>
      <c r="E13" s="129">
        <v>1</v>
      </c>
      <c r="F13" s="142" t="s">
        <v>68</v>
      </c>
      <c r="G13" s="127" t="s">
        <v>6</v>
      </c>
      <c r="H13" s="127" t="s">
        <v>26</v>
      </c>
      <c r="I13" s="127" t="str">
        <f t="shared" si="0"/>
        <v>NV10843787</v>
      </c>
      <c r="J13" s="128" t="str">
        <f t="shared" si="1"/>
        <v>Nghỉ không lương cả ngày</v>
      </c>
      <c r="K13" s="127" t="str">
        <f>HLOOKUP(J13,HDSD!$C$109:$L$110,2,0)</f>
        <v>Ro:8</v>
      </c>
      <c r="L13" s="59"/>
      <c r="M13"/>
      <c r="N13" s="59"/>
    </row>
    <row r="14" spans="1:14" s="58" customFormat="1" ht="15.6" x14ac:dyDescent="0.3">
      <c r="A14" s="127">
        <f t="shared" si="2"/>
        <v>9</v>
      </c>
      <c r="B14" s="127" t="s">
        <v>9</v>
      </c>
      <c r="C14" s="128" t="s">
        <v>18</v>
      </c>
      <c r="D14" s="130">
        <v>43785</v>
      </c>
      <c r="E14" s="129">
        <v>0.5</v>
      </c>
      <c r="F14" s="142" t="s">
        <v>68</v>
      </c>
      <c r="G14" s="127" t="s">
        <v>9</v>
      </c>
      <c r="H14" s="127" t="s">
        <v>31</v>
      </c>
      <c r="I14" s="127" t="str">
        <f t="shared" si="0"/>
        <v>NV11443785</v>
      </c>
      <c r="J14" s="128" t="str">
        <f t="shared" si="1"/>
        <v>Nghỉ không lương nửa ngày</v>
      </c>
      <c r="K14" s="127" t="str">
        <f>HLOOKUP(J14,HDSD!$C$109:$L$110,2,0)</f>
        <v>Ro:4</v>
      </c>
      <c r="L14" s="59"/>
      <c r="M14"/>
      <c r="N14" s="59"/>
    </row>
    <row r="15" spans="1:14" s="58" customFormat="1" ht="15.6" x14ac:dyDescent="0.3">
      <c r="A15" s="127">
        <f t="shared" si="2"/>
        <v>10</v>
      </c>
      <c r="B15" s="127" t="s">
        <v>4</v>
      </c>
      <c r="C15" s="128" t="s">
        <v>14</v>
      </c>
      <c r="D15" s="130">
        <v>43785</v>
      </c>
      <c r="E15" s="129">
        <v>1</v>
      </c>
      <c r="F15" s="142" t="s">
        <v>67</v>
      </c>
      <c r="G15" s="127" t="s">
        <v>4</v>
      </c>
      <c r="H15" s="127" t="s">
        <v>26</v>
      </c>
      <c r="I15" s="127" t="str">
        <f t="shared" si="0"/>
        <v>NV10143785</v>
      </c>
      <c r="J15" s="128" t="str">
        <f t="shared" si="1"/>
        <v>Nghỉ phép cả ngày</v>
      </c>
      <c r="K15" s="127" t="str">
        <f>HLOOKUP(J15,HDSD!$C$109:$L$110,2,0)</f>
        <v>P:8</v>
      </c>
      <c r="L15" s="59"/>
      <c r="M15"/>
      <c r="N15" s="59"/>
    </row>
    <row r="16" spans="1:14" s="58" customFormat="1" ht="15.6" x14ac:dyDescent="0.3">
      <c r="A16" s="127">
        <f t="shared" si="2"/>
        <v>11</v>
      </c>
      <c r="B16" s="127" t="s">
        <v>5</v>
      </c>
      <c r="C16" s="128" t="s">
        <v>28</v>
      </c>
      <c r="D16" s="130">
        <v>43778</v>
      </c>
      <c r="E16" s="129">
        <v>0.5</v>
      </c>
      <c r="F16" s="142" t="s">
        <v>67</v>
      </c>
      <c r="G16" s="127" t="s">
        <v>5</v>
      </c>
      <c r="H16" s="127" t="s">
        <v>26</v>
      </c>
      <c r="I16" s="127" t="str">
        <f t="shared" si="0"/>
        <v>NV10743778</v>
      </c>
      <c r="J16" s="128" t="str">
        <f t="shared" si="1"/>
        <v>Nghỉ phép nửa ngày</v>
      </c>
      <c r="K16" s="127" t="str">
        <f>HLOOKUP(J16,HDSD!$C$109:$L$110,2,0)</f>
        <v>P:4</v>
      </c>
      <c r="L16" s="59"/>
      <c r="M16"/>
      <c r="N16" s="59"/>
    </row>
    <row r="17" spans="1:14" s="58" customFormat="1" ht="15.6" x14ac:dyDescent="0.3">
      <c r="A17" s="127">
        <f t="shared" si="2"/>
        <v>12</v>
      </c>
      <c r="B17" s="127" t="s">
        <v>11</v>
      </c>
      <c r="C17" s="128" t="s">
        <v>20</v>
      </c>
      <c r="D17" s="130">
        <v>43777</v>
      </c>
      <c r="E17" s="129">
        <v>1</v>
      </c>
      <c r="F17" s="142" t="s">
        <v>67</v>
      </c>
      <c r="G17" s="127" t="s">
        <v>11</v>
      </c>
      <c r="H17" s="127" t="s">
        <v>24</v>
      </c>
      <c r="I17" s="127" t="str">
        <f t="shared" si="0"/>
        <v>NV12243777</v>
      </c>
      <c r="J17" s="128" t="str">
        <f t="shared" si="1"/>
        <v>Nghỉ phép cả ngày</v>
      </c>
      <c r="K17" s="127" t="str">
        <f>HLOOKUP(J17,HDSD!$C$109:$L$110,2,0)</f>
        <v>P:8</v>
      </c>
      <c r="L17" s="59"/>
      <c r="M17"/>
      <c r="N17" s="59"/>
    </row>
    <row r="18" spans="1:14" s="58" customFormat="1" ht="15.6" x14ac:dyDescent="0.3">
      <c r="A18" s="127">
        <f t="shared" si="2"/>
        <v>13</v>
      </c>
      <c r="B18" s="127" t="s">
        <v>9</v>
      </c>
      <c r="C18" s="128" t="s">
        <v>18</v>
      </c>
      <c r="D18" s="130">
        <v>43775</v>
      </c>
      <c r="E18" s="129">
        <v>1</v>
      </c>
      <c r="F18" s="142" t="s">
        <v>67</v>
      </c>
      <c r="G18" s="127" t="s">
        <v>9</v>
      </c>
      <c r="H18" s="127" t="s">
        <v>26</v>
      </c>
      <c r="I18" s="127" t="str">
        <f t="shared" si="0"/>
        <v>NV11443775</v>
      </c>
      <c r="J18" s="128" t="str">
        <f t="shared" si="1"/>
        <v>Nghỉ phép cả ngày</v>
      </c>
      <c r="K18" s="127" t="str">
        <f>HLOOKUP(J18,HDSD!$C$109:$L$110,2,0)</f>
        <v>P:8</v>
      </c>
      <c r="L18" s="59"/>
      <c r="M18"/>
      <c r="N18" s="59"/>
    </row>
    <row r="19" spans="1:14" s="58" customFormat="1" ht="15.6" x14ac:dyDescent="0.3">
      <c r="A19" s="127">
        <f t="shared" si="2"/>
        <v>14</v>
      </c>
      <c r="B19" s="127" t="s">
        <v>6</v>
      </c>
      <c r="C19" s="128" t="s">
        <v>15</v>
      </c>
      <c r="D19" s="130">
        <v>43774</v>
      </c>
      <c r="E19" s="129">
        <v>1</v>
      </c>
      <c r="F19" s="142" t="s">
        <v>68</v>
      </c>
      <c r="G19" s="127" t="s">
        <v>6</v>
      </c>
      <c r="H19" s="127" t="s">
        <v>24</v>
      </c>
      <c r="I19" s="127" t="str">
        <f t="shared" si="0"/>
        <v>NV10843774</v>
      </c>
      <c r="J19" s="128" t="str">
        <f t="shared" si="1"/>
        <v>Nghỉ không lương cả ngày</v>
      </c>
      <c r="K19" s="127" t="str">
        <f>HLOOKUP(J19,HDSD!$C$109:$L$110,2,0)</f>
        <v>Ro:8</v>
      </c>
      <c r="L19" s="59"/>
      <c r="M19"/>
      <c r="N19" s="59"/>
    </row>
    <row r="20" spans="1:14" s="58" customFormat="1" ht="15.6" x14ac:dyDescent="0.3">
      <c r="A20" s="127">
        <f t="shared" si="2"/>
        <v>15</v>
      </c>
      <c r="B20" s="127" t="s">
        <v>12</v>
      </c>
      <c r="C20" s="128" t="s">
        <v>21</v>
      </c>
      <c r="D20" s="130">
        <v>43773</v>
      </c>
      <c r="E20" s="129">
        <v>1</v>
      </c>
      <c r="F20" s="142" t="s">
        <v>67</v>
      </c>
      <c r="G20" s="127" t="s">
        <v>12</v>
      </c>
      <c r="H20" s="127" t="s">
        <v>24</v>
      </c>
      <c r="I20" s="127" t="str">
        <f t="shared" si="0"/>
        <v>NV12343773</v>
      </c>
      <c r="J20" s="128" t="str">
        <f t="shared" si="1"/>
        <v>Nghỉ phép cả ngày</v>
      </c>
      <c r="K20" s="127" t="str">
        <f>HLOOKUP(J20,HDSD!$C$109:$L$110,2,0)</f>
        <v>P:8</v>
      </c>
      <c r="L20" s="59"/>
      <c r="M20"/>
      <c r="N20" s="59"/>
    </row>
    <row r="21" spans="1:14" s="58" customFormat="1" ht="15.6" x14ac:dyDescent="0.3">
      <c r="A21" s="127">
        <f t="shared" si="2"/>
        <v>16</v>
      </c>
      <c r="B21" s="127" t="s">
        <v>11</v>
      </c>
      <c r="C21" s="128" t="s">
        <v>20</v>
      </c>
      <c r="D21" s="130">
        <v>43771</v>
      </c>
      <c r="E21" s="129">
        <v>0.5</v>
      </c>
      <c r="F21" s="142" t="s">
        <v>68</v>
      </c>
      <c r="G21" s="127" t="s">
        <v>11</v>
      </c>
      <c r="H21" s="127" t="s">
        <v>24</v>
      </c>
      <c r="I21" s="127" t="str">
        <f t="shared" si="0"/>
        <v>NV12243771</v>
      </c>
      <c r="J21" s="128" t="str">
        <f t="shared" si="1"/>
        <v>Nghỉ không lương nửa ngày</v>
      </c>
      <c r="K21" s="127" t="str">
        <f>HLOOKUP(J21,HDSD!$C$109:$L$110,2,0)</f>
        <v>Ro:4</v>
      </c>
      <c r="L21" s="59"/>
      <c r="M21"/>
      <c r="N21" s="59"/>
    </row>
    <row r="22" spans="1:14" s="58" customFormat="1" ht="15.6" x14ac:dyDescent="0.3">
      <c r="A22" s="127">
        <f t="shared" si="2"/>
        <v>17</v>
      </c>
      <c r="B22" s="127" t="s">
        <v>4</v>
      </c>
      <c r="C22" s="128" t="s">
        <v>14</v>
      </c>
      <c r="D22" s="130">
        <v>43770</v>
      </c>
      <c r="E22" s="129">
        <v>1</v>
      </c>
      <c r="F22" s="142" t="s">
        <v>69</v>
      </c>
      <c r="G22" s="127" t="s">
        <v>4</v>
      </c>
      <c r="H22" s="127" t="s">
        <v>24</v>
      </c>
      <c r="I22" s="127" t="str">
        <f t="shared" si="0"/>
        <v>NV10143770</v>
      </c>
      <c r="J22" s="128" t="str">
        <f t="shared" si="1"/>
        <v>Nghỉ ốm cả ngày</v>
      </c>
      <c r="K22" s="127" t="str">
        <f>HLOOKUP(J22,HDSD!$C$109:$L$110,2,0)</f>
        <v>Ô:8</v>
      </c>
      <c r="L22" s="59"/>
      <c r="M22"/>
      <c r="N22" s="59"/>
    </row>
    <row r="23" spans="1:14" s="58" customFormat="1" ht="15.6" x14ac:dyDescent="0.3">
      <c r="A23" s="127">
        <f t="shared" si="2"/>
        <v>18</v>
      </c>
      <c r="B23" s="127" t="s">
        <v>4</v>
      </c>
      <c r="C23" s="128" t="s">
        <v>14</v>
      </c>
      <c r="D23" s="130">
        <v>43771</v>
      </c>
      <c r="E23" s="129">
        <v>1</v>
      </c>
      <c r="F23" s="142" t="s">
        <v>69</v>
      </c>
      <c r="G23" s="127" t="s">
        <v>4</v>
      </c>
      <c r="H23" s="127" t="s">
        <v>24</v>
      </c>
      <c r="I23" s="127" t="str">
        <f t="shared" si="0"/>
        <v>NV10143771</v>
      </c>
      <c r="J23" s="128" t="str">
        <f t="shared" si="1"/>
        <v>Nghỉ ốm cả ngày</v>
      </c>
      <c r="K23" s="127" t="str">
        <f>HLOOKUP(J23,HDSD!$C$109:$L$110,2,0)</f>
        <v>Ô:8</v>
      </c>
      <c r="L23" s="59"/>
      <c r="M23"/>
      <c r="N23" s="59"/>
    </row>
    <row r="24" spans="1:14" s="58" customFormat="1" ht="15.6" x14ac:dyDescent="0.3">
      <c r="A24" s="127">
        <f t="shared" si="2"/>
        <v>19</v>
      </c>
      <c r="B24" s="127" t="s">
        <v>4</v>
      </c>
      <c r="C24" s="128" t="s">
        <v>14</v>
      </c>
      <c r="D24" s="130">
        <v>43770</v>
      </c>
      <c r="E24" s="129">
        <v>1</v>
      </c>
      <c r="F24" s="142" t="s">
        <v>69</v>
      </c>
      <c r="G24" s="127" t="s">
        <v>4</v>
      </c>
      <c r="H24" s="127" t="s">
        <v>24</v>
      </c>
      <c r="I24" s="127" t="str">
        <f t="shared" si="0"/>
        <v>NV10143770</v>
      </c>
      <c r="J24" s="128" t="str">
        <f t="shared" si="1"/>
        <v>Nghỉ ốm cả ngày</v>
      </c>
      <c r="K24" s="127" t="str">
        <f>HLOOKUP(J24,HDSD!$C$109:$L$110,2,0)</f>
        <v>Ô:8</v>
      </c>
      <c r="L24" s="59"/>
      <c r="M24"/>
      <c r="N24" s="59"/>
    </row>
    <row r="25" spans="1:14" s="58" customFormat="1" ht="15.6" x14ac:dyDescent="0.3">
      <c r="A25" s="127">
        <f t="shared" si="2"/>
        <v>20</v>
      </c>
      <c r="B25" s="127" t="s">
        <v>4</v>
      </c>
      <c r="C25" s="128" t="s">
        <v>14</v>
      </c>
      <c r="D25" s="130">
        <v>43770</v>
      </c>
      <c r="E25" s="129">
        <v>1</v>
      </c>
      <c r="F25" s="142" t="s">
        <v>69</v>
      </c>
      <c r="G25" s="127" t="s">
        <v>4</v>
      </c>
      <c r="H25" s="127" t="s">
        <v>24</v>
      </c>
      <c r="I25" s="127" t="str">
        <f t="shared" si="0"/>
        <v>NV10143770</v>
      </c>
      <c r="J25" s="128" t="str">
        <f t="shared" si="1"/>
        <v>Nghỉ ốm cả ngày</v>
      </c>
      <c r="K25" s="127" t="str">
        <f>HLOOKUP(J25,HDSD!$C$109:$L$110,2,0)</f>
        <v>Ô:8</v>
      </c>
      <c r="L25" s="59"/>
      <c r="M25"/>
      <c r="N25" s="59"/>
    </row>
    <row r="26" spans="1:14" s="58" customFormat="1" ht="15.6" x14ac:dyDescent="0.3">
      <c r="A26" s="127">
        <f t="shared" si="2"/>
        <v>21</v>
      </c>
      <c r="B26" s="127" t="s">
        <v>4</v>
      </c>
      <c r="C26" s="128" t="s">
        <v>14</v>
      </c>
      <c r="D26" s="130">
        <v>43770</v>
      </c>
      <c r="E26" s="129">
        <v>1</v>
      </c>
      <c r="F26" s="142" t="s">
        <v>69</v>
      </c>
      <c r="G26" s="127" t="s">
        <v>4</v>
      </c>
      <c r="H26" s="127" t="s">
        <v>24</v>
      </c>
      <c r="I26" s="127" t="str">
        <f t="shared" si="0"/>
        <v>NV10143770</v>
      </c>
      <c r="J26" s="128" t="str">
        <f t="shared" si="1"/>
        <v>Nghỉ ốm cả ngày</v>
      </c>
      <c r="K26" s="127" t="str">
        <f>HLOOKUP(J26,HDSD!$C$109:$L$110,2,0)</f>
        <v>Ô:8</v>
      </c>
      <c r="L26" s="59"/>
      <c r="M26"/>
      <c r="N26" s="59"/>
    </row>
  </sheetData>
  <autoFilter ref="A5:X26" xr:uid="{447D04D1-D18E-4FC4-B022-AF4E4F27B5A9}"/>
  <dataValidations count="1">
    <dataValidation type="list" allowBlank="1" showInputMessage="1" showErrorMessage="1" sqref="F6:F26" xr:uid="{9C4D980A-F2B9-42D4-9316-C45EA1E40BAD}">
      <formula1>"Nghỉ phép,Nghỉ không lương,Nghỉ ốm,Nghỉ con ốm"</formula1>
    </dataValidation>
  </dataValidations>
  <pageMargins left="0.39370078740157499" right="0.39370078740157499" top="0.59055118110236204" bottom="0.59055118110236204" header="0.5" footer="0.5"/>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92D050"/>
  </sheetPr>
  <dimension ref="A1:K21"/>
  <sheetViews>
    <sheetView showZeros="0" zoomScale="85" zoomScaleNormal="85" workbookViewId="0">
      <pane ySplit="5" topLeftCell="A6" activePane="bottomLeft" state="frozen"/>
      <selection pane="bottomLeft" activeCell="H25" sqref="H25"/>
    </sheetView>
  </sheetViews>
  <sheetFormatPr defaultColWidth="9.21875" defaultRowHeight="13.2" x14ac:dyDescent="0.25"/>
  <cols>
    <col min="1" max="1" width="5.5546875" style="21" customWidth="1"/>
    <col min="2" max="2" width="11.21875" style="21" customWidth="1"/>
    <col min="3" max="3" width="29.77734375" style="21" customWidth="1"/>
    <col min="4" max="4" width="13.44140625" style="21" customWidth="1"/>
    <col min="5" max="5" width="9" style="21" bestFit="1" customWidth="1"/>
    <col min="6" max="6" width="9.88671875" style="21" bestFit="1" customWidth="1"/>
    <col min="7" max="7" width="38.21875" style="21" customWidth="1"/>
    <col min="8" max="8" width="21.88671875" style="21" customWidth="1"/>
    <col min="9" max="9" width="17.44140625" style="21" customWidth="1"/>
    <col min="10" max="10" width="13.109375" style="21" customWidth="1"/>
    <col min="11" max="11" width="16.109375" style="20" customWidth="1"/>
    <col min="12" max="16384" width="9.21875" style="19"/>
  </cols>
  <sheetData>
    <row r="1" spans="1:11" s="18" customFormat="1" ht="31.8" x14ac:dyDescent="0.3">
      <c r="A1" s="133" t="s">
        <v>50</v>
      </c>
      <c r="B1" s="17"/>
      <c r="C1" s="17"/>
      <c r="D1" s="17"/>
      <c r="E1" s="17"/>
      <c r="F1" s="17"/>
      <c r="G1" s="17"/>
      <c r="H1" s="17"/>
      <c r="I1" s="177"/>
      <c r="J1" s="242" t="s">
        <v>326</v>
      </c>
      <c r="K1" s="243">
        <f>HDSD!F6</f>
        <v>2</v>
      </c>
    </row>
    <row r="2" spans="1:11" s="18" customFormat="1" ht="20.25" customHeight="1" x14ac:dyDescent="0.3">
      <c r="A2" s="17"/>
      <c r="B2" s="17"/>
      <c r="C2" s="17"/>
      <c r="D2" s="17"/>
      <c r="E2" s="17"/>
      <c r="F2" s="17"/>
      <c r="G2" s="17"/>
      <c r="H2" s="17"/>
      <c r="I2" s="177"/>
      <c r="J2" s="242" t="s">
        <v>325</v>
      </c>
      <c r="K2" s="243">
        <f>HDSD!J6</f>
        <v>60</v>
      </c>
    </row>
    <row r="3" spans="1:11" s="125" customFormat="1" ht="20.25" customHeight="1" x14ac:dyDescent="0.3">
      <c r="A3" s="134" t="s">
        <v>173</v>
      </c>
      <c r="B3" s="135" t="s">
        <v>91</v>
      </c>
      <c r="C3" s="135" t="s">
        <v>91</v>
      </c>
      <c r="D3" s="135" t="s">
        <v>91</v>
      </c>
      <c r="E3" s="135" t="s">
        <v>91</v>
      </c>
      <c r="F3" s="135" t="s">
        <v>91</v>
      </c>
      <c r="G3" s="135" t="s">
        <v>91</v>
      </c>
      <c r="H3" s="135" t="s">
        <v>91</v>
      </c>
      <c r="I3" s="134" t="s">
        <v>173</v>
      </c>
      <c r="J3" s="134" t="s">
        <v>173</v>
      </c>
      <c r="K3" s="134" t="s">
        <v>173</v>
      </c>
    </row>
    <row r="4" spans="1:11" s="125" customFormat="1" ht="20.25" customHeight="1" x14ac:dyDescent="0.3">
      <c r="A4" s="136"/>
      <c r="B4" s="136"/>
      <c r="C4" s="136"/>
      <c r="D4" s="136"/>
      <c r="E4" s="136"/>
      <c r="F4" s="136"/>
      <c r="G4" s="136"/>
      <c r="H4" s="136"/>
      <c r="I4" s="137">
        <f>SUBTOTAL(9,I6:I21)</f>
        <v>300</v>
      </c>
      <c r="J4" s="136"/>
      <c r="K4" s="137">
        <f>SUBTOTAL(9,K6:K21)</f>
        <v>120</v>
      </c>
    </row>
    <row r="5" spans="1:11" s="138" customFormat="1" ht="31.2" x14ac:dyDescent="0.3">
      <c r="A5" s="126" t="s">
        <v>27</v>
      </c>
      <c r="B5" s="126" t="s">
        <v>32</v>
      </c>
      <c r="C5" s="126" t="s">
        <v>2</v>
      </c>
      <c r="D5" s="126" t="s">
        <v>288</v>
      </c>
      <c r="E5" s="126" t="s">
        <v>125</v>
      </c>
      <c r="F5" s="126" t="s">
        <v>130</v>
      </c>
      <c r="G5" s="126" t="s">
        <v>51</v>
      </c>
      <c r="H5" s="126" t="s">
        <v>52</v>
      </c>
      <c r="I5" s="126" t="s">
        <v>290</v>
      </c>
      <c r="J5" s="126" t="s">
        <v>324</v>
      </c>
      <c r="K5" s="126" t="s">
        <v>290</v>
      </c>
    </row>
    <row r="6" spans="1:11" s="139" customFormat="1" ht="15.6" hidden="1" x14ac:dyDescent="0.3">
      <c r="A6" s="127">
        <f>ROW()-ROW($A$5)</f>
        <v>1</v>
      </c>
      <c r="B6" s="127" t="s">
        <v>4</v>
      </c>
      <c r="C6" s="128" t="s">
        <v>14</v>
      </c>
      <c r="D6" s="130">
        <v>43796</v>
      </c>
      <c r="E6" s="140">
        <v>0.6875</v>
      </c>
      <c r="F6" s="140">
        <v>0.72916666666666663</v>
      </c>
      <c r="G6" s="128" t="s">
        <v>53</v>
      </c>
      <c r="H6" s="128" t="s">
        <v>26</v>
      </c>
      <c r="I6" s="141">
        <f>60*HOUR($F6-$E6)+MINUTE($F6-$E6)</f>
        <v>60</v>
      </c>
      <c r="J6" s="127">
        <f>COUNTIFS($B:$B,B6,$D:$D,"&lt;="&amp;D6)</f>
        <v>1</v>
      </c>
      <c r="K6" s="141">
        <f>IF(J6&lt;=$K$1,IF(I6&gt;$K$2,$K$2,I6),0)</f>
        <v>60</v>
      </c>
    </row>
    <row r="7" spans="1:11" s="139" customFormat="1" ht="31.2" hidden="1" x14ac:dyDescent="0.3">
      <c r="A7" s="127">
        <f t="shared" ref="A7:A21" si="0">ROW()-ROW($A$5)</f>
        <v>2</v>
      </c>
      <c r="B7" s="127" t="s">
        <v>5</v>
      </c>
      <c r="C7" s="128" t="s">
        <v>28</v>
      </c>
      <c r="D7" s="130">
        <v>43794</v>
      </c>
      <c r="E7" s="140">
        <v>0.6875</v>
      </c>
      <c r="F7" s="140">
        <v>0.72916666666666663</v>
      </c>
      <c r="G7" s="128" t="s">
        <v>54</v>
      </c>
      <c r="H7" s="128" t="s">
        <v>31</v>
      </c>
      <c r="I7" s="141">
        <f t="shared" ref="I7:I21" si="1">60*HOUR($F7-$E7)+MINUTE($F7-$E7)</f>
        <v>60</v>
      </c>
      <c r="J7" s="127">
        <f t="shared" ref="J7:J21" si="2">COUNTIFS($B:$B,B7,$D:$D,"&lt;="&amp;D7)</f>
        <v>2</v>
      </c>
      <c r="K7" s="141">
        <f t="shared" ref="K7:K21" si="3">IF(J7&lt;=$K$1,IF(I7&gt;$K$2,$K$2,I7),0)</f>
        <v>60</v>
      </c>
    </row>
    <row r="8" spans="1:11" s="139" customFormat="1" ht="15.6" hidden="1" x14ac:dyDescent="0.3">
      <c r="A8" s="127">
        <f t="shared" si="0"/>
        <v>3</v>
      </c>
      <c r="B8" s="127" t="s">
        <v>7</v>
      </c>
      <c r="C8" s="128" t="s">
        <v>16</v>
      </c>
      <c r="D8" s="130">
        <v>43792</v>
      </c>
      <c r="E8" s="140">
        <v>0.6875</v>
      </c>
      <c r="F8" s="140">
        <v>0.72916666666666663</v>
      </c>
      <c r="G8" s="128" t="s">
        <v>55</v>
      </c>
      <c r="H8" s="128" t="s">
        <v>25</v>
      </c>
      <c r="I8" s="141">
        <f t="shared" si="1"/>
        <v>60</v>
      </c>
      <c r="J8" s="127">
        <f t="shared" si="2"/>
        <v>1</v>
      </c>
      <c r="K8" s="141">
        <f t="shared" si="3"/>
        <v>60</v>
      </c>
    </row>
    <row r="9" spans="1:11" s="139" customFormat="1" ht="15.6" hidden="1" x14ac:dyDescent="0.3">
      <c r="A9" s="127">
        <f t="shared" si="0"/>
        <v>4</v>
      </c>
      <c r="B9" s="127" t="s">
        <v>12</v>
      </c>
      <c r="C9" s="128" t="s">
        <v>21</v>
      </c>
      <c r="D9" s="130">
        <v>43792</v>
      </c>
      <c r="E9" s="140">
        <v>0.45833333333333331</v>
      </c>
      <c r="F9" s="140">
        <v>0.5</v>
      </c>
      <c r="G9" s="128" t="s">
        <v>56</v>
      </c>
      <c r="H9" s="128" t="s">
        <v>24</v>
      </c>
      <c r="I9" s="141">
        <f t="shared" si="1"/>
        <v>60</v>
      </c>
      <c r="J9" s="127">
        <f t="shared" si="2"/>
        <v>2</v>
      </c>
      <c r="K9" s="141">
        <f t="shared" si="3"/>
        <v>60</v>
      </c>
    </row>
    <row r="10" spans="1:11" s="139" customFormat="1" ht="31.2" x14ac:dyDescent="0.3">
      <c r="A10" s="127">
        <f t="shared" si="0"/>
        <v>5</v>
      </c>
      <c r="B10" s="127" t="s">
        <v>6</v>
      </c>
      <c r="C10" s="128" t="s">
        <v>15</v>
      </c>
      <c r="D10" s="130">
        <v>43790</v>
      </c>
      <c r="E10" s="140">
        <v>0.33333333333333331</v>
      </c>
      <c r="F10" s="140">
        <v>0.375</v>
      </c>
      <c r="G10" s="128" t="s">
        <v>57</v>
      </c>
      <c r="H10" s="128" t="s">
        <v>26</v>
      </c>
      <c r="I10" s="141">
        <f t="shared" si="1"/>
        <v>60</v>
      </c>
      <c r="J10" s="127">
        <f t="shared" si="2"/>
        <v>4</v>
      </c>
      <c r="K10" s="141">
        <f t="shared" si="3"/>
        <v>0</v>
      </c>
    </row>
    <row r="11" spans="1:11" s="139" customFormat="1" ht="15.6" hidden="1" x14ac:dyDescent="0.3">
      <c r="A11" s="127">
        <f t="shared" si="0"/>
        <v>6</v>
      </c>
      <c r="B11" s="127" t="s">
        <v>10</v>
      </c>
      <c r="C11" s="128" t="s">
        <v>19</v>
      </c>
      <c r="D11" s="130">
        <v>43788</v>
      </c>
      <c r="E11" s="140">
        <v>0.33333333333333331</v>
      </c>
      <c r="F11" s="140">
        <v>0.34722222222222227</v>
      </c>
      <c r="G11" s="128" t="s">
        <v>58</v>
      </c>
      <c r="H11" s="128" t="s">
        <v>26</v>
      </c>
      <c r="I11" s="141">
        <f t="shared" si="1"/>
        <v>20</v>
      </c>
      <c r="J11" s="127">
        <f t="shared" si="2"/>
        <v>2</v>
      </c>
      <c r="K11" s="141">
        <f t="shared" si="3"/>
        <v>20</v>
      </c>
    </row>
    <row r="12" spans="1:11" s="139" customFormat="1" ht="15.6" x14ac:dyDescent="0.3">
      <c r="A12" s="127">
        <f t="shared" si="0"/>
        <v>7</v>
      </c>
      <c r="B12" s="127" t="s">
        <v>6</v>
      </c>
      <c r="C12" s="128" t="s">
        <v>15</v>
      </c>
      <c r="D12" s="130">
        <v>43785</v>
      </c>
      <c r="E12" s="140">
        <v>0.64583333333333337</v>
      </c>
      <c r="F12" s="140">
        <v>0.72916666666666663</v>
      </c>
      <c r="G12" s="128" t="s">
        <v>289</v>
      </c>
      <c r="H12" s="128" t="s">
        <v>26</v>
      </c>
      <c r="I12" s="141">
        <f t="shared" si="1"/>
        <v>120</v>
      </c>
      <c r="J12" s="127">
        <f t="shared" si="2"/>
        <v>3</v>
      </c>
      <c r="K12" s="141">
        <f t="shared" si="3"/>
        <v>0</v>
      </c>
    </row>
    <row r="13" spans="1:11" s="139" customFormat="1" ht="15.6" hidden="1" x14ac:dyDescent="0.3">
      <c r="A13" s="127">
        <f t="shared" si="0"/>
        <v>8</v>
      </c>
      <c r="B13" s="127" t="s">
        <v>13</v>
      </c>
      <c r="C13" s="128" t="s">
        <v>22</v>
      </c>
      <c r="D13" s="130">
        <v>43783</v>
      </c>
      <c r="E13" s="140">
        <v>0.33333333333333331</v>
      </c>
      <c r="F13" s="140">
        <v>0.375</v>
      </c>
      <c r="G13" s="128" t="s">
        <v>0</v>
      </c>
      <c r="H13" s="128" t="s">
        <v>26</v>
      </c>
      <c r="I13" s="141">
        <f t="shared" si="1"/>
        <v>60</v>
      </c>
      <c r="J13" s="127">
        <f t="shared" si="2"/>
        <v>2</v>
      </c>
      <c r="K13" s="141">
        <f t="shared" si="3"/>
        <v>60</v>
      </c>
    </row>
    <row r="14" spans="1:11" s="139" customFormat="1" ht="31.2" hidden="1" x14ac:dyDescent="0.3">
      <c r="A14" s="127">
        <f t="shared" si="0"/>
        <v>9</v>
      </c>
      <c r="B14" s="127" t="s">
        <v>5</v>
      </c>
      <c r="C14" s="128" t="s">
        <v>28</v>
      </c>
      <c r="D14" s="130">
        <v>43783</v>
      </c>
      <c r="E14" s="140">
        <v>0.6875</v>
      </c>
      <c r="F14" s="140">
        <v>0.72916666666666663</v>
      </c>
      <c r="G14" s="128" t="s">
        <v>59</v>
      </c>
      <c r="H14" s="128" t="s">
        <v>31</v>
      </c>
      <c r="I14" s="141">
        <f t="shared" si="1"/>
        <v>60</v>
      </c>
      <c r="J14" s="127">
        <f t="shared" si="2"/>
        <v>1</v>
      </c>
      <c r="K14" s="141">
        <f t="shared" si="3"/>
        <v>60</v>
      </c>
    </row>
    <row r="15" spans="1:11" s="139" customFormat="1" ht="15.6" hidden="1" x14ac:dyDescent="0.3">
      <c r="A15" s="127">
        <f t="shared" si="0"/>
        <v>10</v>
      </c>
      <c r="B15" s="127" t="s">
        <v>10</v>
      </c>
      <c r="C15" s="128" t="s">
        <v>19</v>
      </c>
      <c r="D15" s="130">
        <v>43782</v>
      </c>
      <c r="E15" s="140">
        <v>0.33333333333333331</v>
      </c>
      <c r="F15" s="140">
        <v>0.34722222222222227</v>
      </c>
      <c r="G15" s="128" t="s">
        <v>60</v>
      </c>
      <c r="H15" s="128" t="s">
        <v>26</v>
      </c>
      <c r="I15" s="141">
        <f t="shared" si="1"/>
        <v>20</v>
      </c>
      <c r="J15" s="127">
        <f t="shared" si="2"/>
        <v>1</v>
      </c>
      <c r="K15" s="141">
        <f t="shared" si="3"/>
        <v>20</v>
      </c>
    </row>
    <row r="16" spans="1:11" s="139" customFormat="1" ht="15.6" hidden="1" x14ac:dyDescent="0.3">
      <c r="A16" s="127">
        <f t="shared" si="0"/>
        <v>11</v>
      </c>
      <c r="B16" s="127" t="s">
        <v>13</v>
      </c>
      <c r="C16" s="128" t="s">
        <v>22</v>
      </c>
      <c r="D16" s="130">
        <v>43782</v>
      </c>
      <c r="E16" s="140">
        <v>0.6875</v>
      </c>
      <c r="F16" s="140">
        <v>0.72916666666666663</v>
      </c>
      <c r="G16" s="128" t="s">
        <v>0</v>
      </c>
      <c r="H16" s="128" t="s">
        <v>26</v>
      </c>
      <c r="I16" s="141">
        <f t="shared" si="1"/>
        <v>60</v>
      </c>
      <c r="J16" s="127">
        <f t="shared" si="2"/>
        <v>1</v>
      </c>
      <c r="K16" s="141">
        <f t="shared" si="3"/>
        <v>60</v>
      </c>
    </row>
    <row r="17" spans="1:11" s="139" customFormat="1" ht="15.6" hidden="1" x14ac:dyDescent="0.3">
      <c r="A17" s="127">
        <f t="shared" si="0"/>
        <v>12</v>
      </c>
      <c r="B17" s="127" t="s">
        <v>12</v>
      </c>
      <c r="C17" s="128" t="s">
        <v>21</v>
      </c>
      <c r="D17" s="130">
        <v>43778</v>
      </c>
      <c r="E17" s="140">
        <v>0.6875</v>
      </c>
      <c r="F17" s="140">
        <v>0.72916666666666663</v>
      </c>
      <c r="G17" s="128" t="s">
        <v>0</v>
      </c>
      <c r="H17" s="128" t="s">
        <v>24</v>
      </c>
      <c r="I17" s="141">
        <f t="shared" si="1"/>
        <v>60</v>
      </c>
      <c r="J17" s="127">
        <f t="shared" si="2"/>
        <v>1</v>
      </c>
      <c r="K17" s="141">
        <f t="shared" si="3"/>
        <v>60</v>
      </c>
    </row>
    <row r="18" spans="1:11" s="139" customFormat="1" ht="15.6" x14ac:dyDescent="0.3">
      <c r="A18" s="127">
        <f t="shared" si="0"/>
        <v>13</v>
      </c>
      <c r="B18" s="127" t="s">
        <v>6</v>
      </c>
      <c r="C18" s="128" t="s">
        <v>15</v>
      </c>
      <c r="D18" s="130">
        <v>43777</v>
      </c>
      <c r="E18" s="140">
        <v>0.6875</v>
      </c>
      <c r="F18" s="140">
        <v>0.72916666666666663</v>
      </c>
      <c r="G18" s="128" t="s">
        <v>61</v>
      </c>
      <c r="H18" s="128" t="s">
        <v>26</v>
      </c>
      <c r="I18" s="141">
        <f t="shared" si="1"/>
        <v>60</v>
      </c>
      <c r="J18" s="127">
        <f t="shared" si="2"/>
        <v>2</v>
      </c>
      <c r="K18" s="141">
        <f t="shared" si="3"/>
        <v>60</v>
      </c>
    </row>
    <row r="19" spans="1:11" s="139" customFormat="1" ht="15.6" hidden="1" x14ac:dyDescent="0.3">
      <c r="A19" s="127">
        <f t="shared" si="0"/>
        <v>14</v>
      </c>
      <c r="B19" s="127" t="s">
        <v>9</v>
      </c>
      <c r="C19" s="128" t="s">
        <v>18</v>
      </c>
      <c r="D19" s="130">
        <v>43774</v>
      </c>
      <c r="E19" s="140">
        <v>0.5625</v>
      </c>
      <c r="F19" s="140">
        <v>0.60416666666666663</v>
      </c>
      <c r="G19" s="128" t="s">
        <v>62</v>
      </c>
      <c r="H19" s="128" t="s">
        <v>24</v>
      </c>
      <c r="I19" s="141">
        <f t="shared" si="1"/>
        <v>60</v>
      </c>
      <c r="J19" s="127">
        <f t="shared" si="2"/>
        <v>2</v>
      </c>
      <c r="K19" s="141">
        <f t="shared" si="3"/>
        <v>60</v>
      </c>
    </row>
    <row r="20" spans="1:11" s="139" customFormat="1" ht="15.6" x14ac:dyDescent="0.3">
      <c r="A20" s="127">
        <f t="shared" si="0"/>
        <v>15</v>
      </c>
      <c r="B20" s="127" t="s">
        <v>6</v>
      </c>
      <c r="C20" s="128" t="s">
        <v>15</v>
      </c>
      <c r="D20" s="130">
        <v>43773</v>
      </c>
      <c r="E20" s="140">
        <v>0.6875</v>
      </c>
      <c r="F20" s="140">
        <v>0.72916666666666663</v>
      </c>
      <c r="G20" s="128" t="s">
        <v>63</v>
      </c>
      <c r="H20" s="128" t="s">
        <v>26</v>
      </c>
      <c r="I20" s="141">
        <f t="shared" si="1"/>
        <v>60</v>
      </c>
      <c r="J20" s="127">
        <f t="shared" si="2"/>
        <v>1</v>
      </c>
      <c r="K20" s="141">
        <f t="shared" si="3"/>
        <v>60</v>
      </c>
    </row>
    <row r="21" spans="1:11" s="139" customFormat="1" ht="15.6" hidden="1" x14ac:dyDescent="0.3">
      <c r="A21" s="127">
        <f t="shared" si="0"/>
        <v>16</v>
      </c>
      <c r="B21" s="127" t="s">
        <v>9</v>
      </c>
      <c r="C21" s="128" t="s">
        <v>18</v>
      </c>
      <c r="D21" s="130">
        <v>43770</v>
      </c>
      <c r="E21" s="140">
        <v>0.33333333333333331</v>
      </c>
      <c r="F21" s="140">
        <v>0.375</v>
      </c>
      <c r="G21" s="128" t="s">
        <v>64</v>
      </c>
      <c r="H21" s="128" t="s">
        <v>23</v>
      </c>
      <c r="I21" s="141">
        <f t="shared" si="1"/>
        <v>60</v>
      </c>
      <c r="J21" s="127">
        <f t="shared" si="2"/>
        <v>1</v>
      </c>
      <c r="K21" s="141">
        <f t="shared" si="3"/>
        <v>60</v>
      </c>
    </row>
  </sheetData>
  <autoFilter ref="A5:K21" xr:uid="{AF95C0E3-C294-4829-8B02-F7582594CE1A}">
    <filterColumn colId="1">
      <filters>
        <filter val="NV108"/>
      </filters>
    </filterColumn>
  </autoFilter>
  <pageMargins left="0.39370078740157499" right="0.39370078740157499" top="0.59055118110236204" bottom="0.59055118110236204" header="0.5" footer="0.5"/>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505"/>
  <sheetViews>
    <sheetView zoomScale="85" zoomScaleNormal="85" workbookViewId="0">
      <pane ySplit="5" topLeftCell="A6" activePane="bottomLeft" state="frozen"/>
      <selection activeCell="N26" sqref="N26"/>
      <selection pane="bottomLeft" activeCell="F12" sqref="F12"/>
    </sheetView>
  </sheetViews>
  <sheetFormatPr defaultRowHeight="14.4" x14ac:dyDescent="0.3"/>
  <cols>
    <col min="1" max="1" width="12.44140625" style="4" bestFit="1" customWidth="1"/>
    <col min="2" max="2" width="18" style="5" bestFit="1" customWidth="1"/>
    <col min="3" max="4" width="8.77734375" style="5"/>
    <col min="5" max="5" width="12.21875" style="5" customWidth="1"/>
    <col min="6" max="6" width="20.77734375" style="5" bestFit="1" customWidth="1"/>
    <col min="7" max="9" width="8.77734375" style="5"/>
    <col min="10" max="10" width="15" style="5" bestFit="1" customWidth="1"/>
    <col min="11" max="11" width="12" style="5" bestFit="1" customWidth="1"/>
    <col min="12" max="12" width="10.5546875" style="5" bestFit="1" customWidth="1"/>
    <col min="13" max="13" width="11.44140625" style="5" bestFit="1" customWidth="1"/>
  </cols>
  <sheetData>
    <row r="1" spans="1:13" ht="20.399999999999999" x14ac:dyDescent="0.35">
      <c r="A1" s="44" t="s">
        <v>179</v>
      </c>
    </row>
    <row r="2" spans="1:13" x14ac:dyDescent="0.3">
      <c r="A2" s="60" t="s">
        <v>250</v>
      </c>
      <c r="B2" s="60"/>
      <c r="C2" s="60"/>
    </row>
    <row r="3" spans="1:13" s="47" customFormat="1" ht="13.8" x14ac:dyDescent="0.3">
      <c r="A3" s="46" t="s">
        <v>91</v>
      </c>
      <c r="B3" s="46" t="s">
        <v>91</v>
      </c>
      <c r="C3" s="46" t="s">
        <v>91</v>
      </c>
      <c r="D3" s="46" t="s">
        <v>91</v>
      </c>
      <c r="E3" s="46" t="s">
        <v>91</v>
      </c>
      <c r="F3" s="45" t="s">
        <v>173</v>
      </c>
      <c r="G3" s="45" t="s">
        <v>173</v>
      </c>
      <c r="H3" s="45" t="s">
        <v>173</v>
      </c>
      <c r="I3" s="45" t="s">
        <v>173</v>
      </c>
      <c r="J3" s="46" t="s">
        <v>91</v>
      </c>
      <c r="K3" s="46" t="s">
        <v>91</v>
      </c>
      <c r="L3" s="45" t="s">
        <v>173</v>
      </c>
      <c r="M3" s="46" t="s">
        <v>91</v>
      </c>
    </row>
    <row r="4" spans="1:13" s="51" customFormat="1" ht="11.1" customHeight="1" x14ac:dyDescent="0.3">
      <c r="A4" s="48"/>
      <c r="B4" s="49"/>
      <c r="C4" s="49"/>
      <c r="D4" s="49"/>
      <c r="E4" s="49"/>
      <c r="F4" s="50"/>
      <c r="G4" s="50"/>
      <c r="H4" s="50"/>
      <c r="I4" s="50"/>
      <c r="J4" s="50"/>
      <c r="K4" s="50"/>
      <c r="L4" s="50"/>
      <c r="M4" s="50"/>
    </row>
    <row r="5" spans="1:13" s="47" customFormat="1" ht="13.8" x14ac:dyDescent="0.3">
      <c r="A5" s="6" t="s">
        <v>32</v>
      </c>
      <c r="B5" s="7" t="s">
        <v>34</v>
      </c>
      <c r="C5" s="7" t="s">
        <v>35</v>
      </c>
      <c r="D5" s="7" t="s">
        <v>1</v>
      </c>
      <c r="E5" s="7" t="s">
        <v>33</v>
      </c>
      <c r="F5" s="7" t="s">
        <v>114</v>
      </c>
      <c r="G5" s="7" t="s">
        <v>49</v>
      </c>
      <c r="H5" s="7" t="s">
        <v>35</v>
      </c>
      <c r="I5" s="7" t="s">
        <v>100</v>
      </c>
      <c r="J5" s="7" t="s">
        <v>110</v>
      </c>
      <c r="K5" s="7" t="s">
        <v>111</v>
      </c>
      <c r="L5" s="7" t="s">
        <v>3</v>
      </c>
      <c r="M5" s="7" t="s">
        <v>112</v>
      </c>
    </row>
    <row r="6" spans="1:13" s="47" customFormat="1" ht="13.8" x14ac:dyDescent="0.3">
      <c r="A6" s="1" t="s">
        <v>36</v>
      </c>
      <c r="B6" s="3">
        <v>43799.729270833333</v>
      </c>
      <c r="C6" s="2" t="s">
        <v>37</v>
      </c>
      <c r="D6" s="2" t="str">
        <f t="shared" ref="D6:D69" si="0">"NV"&amp;A6</f>
        <v>NV101</v>
      </c>
      <c r="E6" s="2" t="s">
        <v>0</v>
      </c>
      <c r="F6" s="2" t="str">
        <f t="shared" ref="F6:F69" si="1">D6&amp;L6&amp;J6&amp;K6</f>
        <v>NV10143799RaChiều</v>
      </c>
      <c r="G6" s="52" t="str">
        <f>TEXT(TIME(HOUR(B6),MINUTE(B6),SECOND(B6)),"hh:mm:ss")</f>
        <v>17:30:09</v>
      </c>
      <c r="H6" s="53" t="str">
        <f>IF(AND(I6="Sáng",G6&lt;"11:00:00",G6&gt;="07:00:00"),"Vào",
IF(AND(I6="Sáng",G6&lt;"13:00:00",G6&gt;="11:00:00"),"Ra",
IF(AND(I6="Chiều",G6&lt;"16:00:00",G6&gt;="13:00:00"),"Vào",
IF(AND(I6="Chiều",G6&lt;"20:00:00",G6&gt;="16:00:00"),"Ra"))))</f>
        <v>Ra</v>
      </c>
      <c r="I6" s="53" t="str">
        <f>IF(G6&lt;="12:30:00","Sáng","Chiều")</f>
        <v>Chiều</v>
      </c>
      <c r="J6" s="53" t="s">
        <v>37</v>
      </c>
      <c r="K6" s="53" t="s">
        <v>103</v>
      </c>
      <c r="L6" s="54">
        <f>DATE(YEAR(B6),MONTH(B6),DAY(B6))</f>
        <v>43799</v>
      </c>
      <c r="M6" s="54"/>
    </row>
    <row r="7" spans="1:13" s="47" customFormat="1" ht="13.8" x14ac:dyDescent="0.3">
      <c r="A7" s="1" t="s">
        <v>36</v>
      </c>
      <c r="B7" s="3">
        <v>43799.332060185181</v>
      </c>
      <c r="C7" s="2" t="s">
        <v>37</v>
      </c>
      <c r="D7" s="2" t="str">
        <f t="shared" si="0"/>
        <v>NV101</v>
      </c>
      <c r="E7" s="2" t="s">
        <v>0</v>
      </c>
      <c r="F7" s="2" t="str">
        <f t="shared" si="1"/>
        <v>NV10143799VàoSáng</v>
      </c>
      <c r="G7" s="52" t="str">
        <f t="shared" ref="G7:G70" si="2">TEXT(TIME(HOUR(B7),MINUTE(B7),SECOND(B7)),"hh:mm:ss")</f>
        <v>07:58:10</v>
      </c>
      <c r="H7" s="53" t="str">
        <f t="shared" ref="H7:H70" si="3">IF(AND(I7="Sáng",G7&lt;"11:00:00",G7&gt;="07:00:00"),"Vào",
IF(AND(I7="Sáng",G7&lt;"13:00:00",G7&gt;="11:00:00"),"Ra",
IF(AND(I7="Chiều",G7&lt;"16:00:00",G7&gt;="13:00:00"),"Vào",
IF(AND(I7="Chiều",G7&lt;"20:00:00",G7&gt;="16:00:00"),"Ra"))))</f>
        <v>Vào</v>
      </c>
      <c r="I7" s="53" t="str">
        <f t="shared" ref="I7:I70" si="4">IF(G7&lt;="12:30:00","Sáng","Chiều")</f>
        <v>Sáng</v>
      </c>
      <c r="J7" s="53" t="s">
        <v>39</v>
      </c>
      <c r="K7" s="53" t="s">
        <v>102</v>
      </c>
      <c r="L7" s="54">
        <f t="shared" ref="L7:L70" si="5">DATE(YEAR(B7),MONTH(B7),DAY(B7))</f>
        <v>43799</v>
      </c>
      <c r="M7" s="54"/>
    </row>
    <row r="8" spans="1:13" s="47" customFormat="1" ht="13.8" x14ac:dyDescent="0.3">
      <c r="A8" s="1" t="s">
        <v>36</v>
      </c>
      <c r="B8" s="3">
        <v>43798.728692129625</v>
      </c>
      <c r="C8" s="2" t="s">
        <v>37</v>
      </c>
      <c r="D8" s="2" t="str">
        <f t="shared" si="0"/>
        <v>NV101</v>
      </c>
      <c r="E8" s="2" t="s">
        <v>0</v>
      </c>
      <c r="F8" s="2" t="str">
        <f t="shared" si="1"/>
        <v>NV10143798RaChiều</v>
      </c>
      <c r="G8" s="52" t="str">
        <f t="shared" si="2"/>
        <v>17:29:19</v>
      </c>
      <c r="H8" s="53" t="str">
        <f t="shared" si="3"/>
        <v>Ra</v>
      </c>
      <c r="I8" s="53" t="str">
        <f t="shared" si="4"/>
        <v>Chiều</v>
      </c>
      <c r="J8" s="55" t="s">
        <v>37</v>
      </c>
      <c r="K8" s="53" t="s">
        <v>103</v>
      </c>
      <c r="L8" s="54">
        <f t="shared" si="5"/>
        <v>43798</v>
      </c>
      <c r="M8" s="54"/>
    </row>
    <row r="9" spans="1:13" s="47" customFormat="1" ht="13.8" x14ac:dyDescent="0.3">
      <c r="A9" s="1" t="s">
        <v>36</v>
      </c>
      <c r="B9" s="3">
        <v>43798.334293981483</v>
      </c>
      <c r="C9" s="2" t="s">
        <v>37</v>
      </c>
      <c r="D9" s="2" t="str">
        <f t="shared" si="0"/>
        <v>NV101</v>
      </c>
      <c r="E9" s="2" t="s">
        <v>0</v>
      </c>
      <c r="F9" s="2" t="str">
        <f t="shared" si="1"/>
        <v>NV10143798VàoSáng</v>
      </c>
      <c r="G9" s="52" t="str">
        <f t="shared" si="2"/>
        <v>08:01:23</v>
      </c>
      <c r="H9" s="53" t="str">
        <f t="shared" si="3"/>
        <v>Vào</v>
      </c>
      <c r="I9" s="53" t="str">
        <f t="shared" si="4"/>
        <v>Sáng</v>
      </c>
      <c r="J9" s="53" t="s">
        <v>39</v>
      </c>
      <c r="K9" s="53" t="s">
        <v>102</v>
      </c>
      <c r="L9" s="54">
        <f t="shared" si="5"/>
        <v>43798</v>
      </c>
      <c r="M9" s="54"/>
    </row>
    <row r="10" spans="1:13" s="47" customFormat="1" ht="13.8" x14ac:dyDescent="0.3">
      <c r="A10" s="1" t="s">
        <v>36</v>
      </c>
      <c r="B10" s="3">
        <v>43797.729432870372</v>
      </c>
      <c r="C10" s="2" t="s">
        <v>37</v>
      </c>
      <c r="D10" s="2" t="str">
        <f t="shared" si="0"/>
        <v>NV101</v>
      </c>
      <c r="E10" s="2" t="s">
        <v>0</v>
      </c>
      <c r="F10" s="2" t="str">
        <f t="shared" si="1"/>
        <v>NV10143797RaChiều</v>
      </c>
      <c r="G10" s="52" t="str">
        <f t="shared" si="2"/>
        <v>17:30:23</v>
      </c>
      <c r="H10" s="53" t="str">
        <f t="shared" si="3"/>
        <v>Ra</v>
      </c>
      <c r="I10" s="53" t="str">
        <f t="shared" si="4"/>
        <v>Chiều</v>
      </c>
      <c r="J10" s="53" t="s">
        <v>37</v>
      </c>
      <c r="K10" s="53" t="s">
        <v>103</v>
      </c>
      <c r="L10" s="54">
        <f t="shared" si="5"/>
        <v>43797</v>
      </c>
      <c r="M10" s="54"/>
    </row>
    <row r="11" spans="1:13" s="47" customFormat="1" ht="13.8" x14ac:dyDescent="0.3">
      <c r="A11" s="1" t="s">
        <v>36</v>
      </c>
      <c r="B11" s="3">
        <v>43797.336504629631</v>
      </c>
      <c r="C11" s="2" t="s">
        <v>37</v>
      </c>
      <c r="D11" s="2" t="str">
        <f t="shared" si="0"/>
        <v>NV101</v>
      </c>
      <c r="E11" s="2" t="s">
        <v>0</v>
      </c>
      <c r="F11" s="2" t="str">
        <f t="shared" si="1"/>
        <v>NV10143797VàoSáng</v>
      </c>
      <c r="G11" s="52" t="str">
        <f t="shared" si="2"/>
        <v>08:04:34</v>
      </c>
      <c r="H11" s="53" t="str">
        <f t="shared" si="3"/>
        <v>Vào</v>
      </c>
      <c r="I11" s="53" t="str">
        <f t="shared" si="4"/>
        <v>Sáng</v>
      </c>
      <c r="J11" s="53" t="s">
        <v>39</v>
      </c>
      <c r="K11" s="53" t="s">
        <v>102</v>
      </c>
      <c r="L11" s="54">
        <f t="shared" si="5"/>
        <v>43797</v>
      </c>
      <c r="M11" s="54"/>
    </row>
    <row r="12" spans="1:13" s="47" customFormat="1" ht="13.8" x14ac:dyDescent="0.3">
      <c r="A12" s="1" t="s">
        <v>36</v>
      </c>
      <c r="B12" s="3">
        <v>43796.687071759261</v>
      </c>
      <c r="C12" s="2" t="s">
        <v>37</v>
      </c>
      <c r="D12" s="2" t="str">
        <f t="shared" si="0"/>
        <v>NV101</v>
      </c>
      <c r="E12" s="2" t="s">
        <v>0</v>
      </c>
      <c r="F12" s="2" t="str">
        <f t="shared" si="1"/>
        <v>NV10143796RaChiều</v>
      </c>
      <c r="G12" s="52" t="str">
        <f t="shared" si="2"/>
        <v>16:29:23</v>
      </c>
      <c r="H12" s="53" t="str">
        <f t="shared" si="3"/>
        <v>Ra</v>
      </c>
      <c r="I12" s="53" t="str">
        <f t="shared" si="4"/>
        <v>Chiều</v>
      </c>
      <c r="J12" s="53" t="s">
        <v>37</v>
      </c>
      <c r="K12" s="53" t="s">
        <v>103</v>
      </c>
      <c r="L12" s="54">
        <f t="shared" si="5"/>
        <v>43796</v>
      </c>
      <c r="M12" s="54"/>
    </row>
    <row r="13" spans="1:13" s="47" customFormat="1" ht="13.8" x14ac:dyDescent="0.3">
      <c r="A13" s="1" t="s">
        <v>36</v>
      </c>
      <c r="B13" s="3">
        <v>43796.33258101852</v>
      </c>
      <c r="C13" s="2" t="s">
        <v>37</v>
      </c>
      <c r="D13" s="2" t="str">
        <f t="shared" si="0"/>
        <v>NV101</v>
      </c>
      <c r="E13" s="2" t="s">
        <v>0</v>
      </c>
      <c r="F13" s="2" t="str">
        <f t="shared" si="1"/>
        <v>NV10143796VàoSáng</v>
      </c>
      <c r="G13" s="52" t="str">
        <f t="shared" si="2"/>
        <v>07:58:55</v>
      </c>
      <c r="H13" s="53" t="str">
        <f t="shared" si="3"/>
        <v>Vào</v>
      </c>
      <c r="I13" s="53" t="str">
        <f t="shared" si="4"/>
        <v>Sáng</v>
      </c>
      <c r="J13" s="53" t="s">
        <v>39</v>
      </c>
      <c r="K13" s="53" t="s">
        <v>102</v>
      </c>
      <c r="L13" s="54">
        <f t="shared" si="5"/>
        <v>43796</v>
      </c>
      <c r="M13" s="54"/>
    </row>
    <row r="14" spans="1:13" s="47" customFormat="1" ht="13.8" x14ac:dyDescent="0.3">
      <c r="A14" s="1" t="s">
        <v>36</v>
      </c>
      <c r="B14" s="3">
        <v>43795.728935185187</v>
      </c>
      <c r="C14" s="2" t="s">
        <v>37</v>
      </c>
      <c r="D14" s="2" t="str">
        <f t="shared" si="0"/>
        <v>NV101</v>
      </c>
      <c r="E14" s="2" t="s">
        <v>0</v>
      </c>
      <c r="F14" s="2" t="str">
        <f t="shared" si="1"/>
        <v>NV10143795RaChiều</v>
      </c>
      <c r="G14" s="52" t="str">
        <f t="shared" si="2"/>
        <v>17:29:40</v>
      </c>
      <c r="H14" s="53" t="str">
        <f t="shared" si="3"/>
        <v>Ra</v>
      </c>
      <c r="I14" s="53" t="str">
        <f t="shared" si="4"/>
        <v>Chiều</v>
      </c>
      <c r="J14" s="53" t="s">
        <v>37</v>
      </c>
      <c r="K14" s="53" t="s">
        <v>103</v>
      </c>
      <c r="L14" s="54">
        <f t="shared" si="5"/>
        <v>43795</v>
      </c>
      <c r="M14" s="54"/>
    </row>
    <row r="15" spans="1:13" s="47" customFormat="1" ht="13.8" x14ac:dyDescent="0.3">
      <c r="A15" s="1" t="s">
        <v>36</v>
      </c>
      <c r="B15" s="3">
        <v>43795.336365740739</v>
      </c>
      <c r="C15" s="2" t="s">
        <v>37</v>
      </c>
      <c r="D15" s="2" t="str">
        <f t="shared" si="0"/>
        <v>NV101</v>
      </c>
      <c r="E15" s="2" t="s">
        <v>0</v>
      </c>
      <c r="F15" s="2" t="str">
        <f t="shared" si="1"/>
        <v>NV10143795VàoSáng</v>
      </c>
      <c r="G15" s="52" t="str">
        <f t="shared" si="2"/>
        <v>08:04:22</v>
      </c>
      <c r="H15" s="53" t="str">
        <f t="shared" si="3"/>
        <v>Vào</v>
      </c>
      <c r="I15" s="53" t="str">
        <f t="shared" si="4"/>
        <v>Sáng</v>
      </c>
      <c r="J15" s="53" t="s">
        <v>39</v>
      </c>
      <c r="K15" s="53" t="s">
        <v>102</v>
      </c>
      <c r="L15" s="54">
        <f t="shared" si="5"/>
        <v>43795</v>
      </c>
      <c r="M15" s="54"/>
    </row>
    <row r="16" spans="1:13" s="47" customFormat="1" ht="13.8" x14ac:dyDescent="0.3">
      <c r="A16" s="1" t="s">
        <v>36</v>
      </c>
      <c r="B16" s="3">
        <v>43794.730914351851</v>
      </c>
      <c r="C16" s="2" t="s">
        <v>37</v>
      </c>
      <c r="D16" s="2" t="str">
        <f t="shared" si="0"/>
        <v>NV101</v>
      </c>
      <c r="E16" s="2" t="s">
        <v>0</v>
      </c>
      <c r="F16" s="2" t="str">
        <f t="shared" si="1"/>
        <v>NV10143794RaChiều</v>
      </c>
      <c r="G16" s="52" t="str">
        <f t="shared" si="2"/>
        <v>17:32:31</v>
      </c>
      <c r="H16" s="53" t="str">
        <f t="shared" si="3"/>
        <v>Ra</v>
      </c>
      <c r="I16" s="53" t="str">
        <f t="shared" si="4"/>
        <v>Chiều</v>
      </c>
      <c r="J16" s="53" t="s">
        <v>37</v>
      </c>
      <c r="K16" s="53" t="s">
        <v>103</v>
      </c>
      <c r="L16" s="54">
        <f t="shared" si="5"/>
        <v>43794</v>
      </c>
      <c r="M16" s="54"/>
    </row>
    <row r="17" spans="1:13" s="47" customFormat="1" ht="13.8" x14ac:dyDescent="0.3">
      <c r="A17" s="1" t="s">
        <v>36</v>
      </c>
      <c r="B17" s="3">
        <v>43794.335138888884</v>
      </c>
      <c r="C17" s="2" t="s">
        <v>37</v>
      </c>
      <c r="D17" s="2" t="str">
        <f t="shared" si="0"/>
        <v>NV101</v>
      </c>
      <c r="E17" s="2" t="s">
        <v>0</v>
      </c>
      <c r="F17" s="2" t="str">
        <f t="shared" si="1"/>
        <v>NV10143794VàoSáng</v>
      </c>
      <c r="G17" s="52" t="str">
        <f t="shared" si="2"/>
        <v>08:02:36</v>
      </c>
      <c r="H17" s="53" t="str">
        <f t="shared" si="3"/>
        <v>Vào</v>
      </c>
      <c r="I17" s="53" t="str">
        <f t="shared" si="4"/>
        <v>Sáng</v>
      </c>
      <c r="J17" s="53" t="s">
        <v>39</v>
      </c>
      <c r="K17" s="53" t="s">
        <v>102</v>
      </c>
      <c r="L17" s="54">
        <f t="shared" si="5"/>
        <v>43794</v>
      </c>
      <c r="M17" s="54"/>
    </row>
    <row r="18" spans="1:13" s="47" customFormat="1" ht="13.8" x14ac:dyDescent="0.3">
      <c r="A18" s="1" t="s">
        <v>36</v>
      </c>
      <c r="B18" s="3">
        <v>43792.730752314812</v>
      </c>
      <c r="C18" s="2" t="s">
        <v>37</v>
      </c>
      <c r="D18" s="2" t="str">
        <f t="shared" si="0"/>
        <v>NV101</v>
      </c>
      <c r="E18" s="2" t="s">
        <v>0</v>
      </c>
      <c r="F18" s="2" t="str">
        <f t="shared" si="1"/>
        <v>NV10143792RaChiều</v>
      </c>
      <c r="G18" s="52" t="str">
        <f t="shared" si="2"/>
        <v>17:32:17</v>
      </c>
      <c r="H18" s="53" t="str">
        <f t="shared" si="3"/>
        <v>Ra</v>
      </c>
      <c r="I18" s="53" t="str">
        <f t="shared" si="4"/>
        <v>Chiều</v>
      </c>
      <c r="J18" s="53" t="s">
        <v>37</v>
      </c>
      <c r="K18" s="53" t="s">
        <v>103</v>
      </c>
      <c r="L18" s="54">
        <f t="shared" si="5"/>
        <v>43792</v>
      </c>
      <c r="M18" s="54"/>
    </row>
    <row r="19" spans="1:13" s="47" customFormat="1" ht="13.8" x14ac:dyDescent="0.3">
      <c r="A19" s="1" t="s">
        <v>36</v>
      </c>
      <c r="B19" s="3">
        <v>43792.332986111112</v>
      </c>
      <c r="C19" s="2" t="s">
        <v>37</v>
      </c>
      <c r="D19" s="2" t="str">
        <f t="shared" si="0"/>
        <v>NV101</v>
      </c>
      <c r="E19" s="2" t="s">
        <v>0</v>
      </c>
      <c r="F19" s="2" t="str">
        <f t="shared" si="1"/>
        <v>NV10143792VàoSáng</v>
      </c>
      <c r="G19" s="52" t="str">
        <f t="shared" si="2"/>
        <v>07:59:30</v>
      </c>
      <c r="H19" s="53" t="str">
        <f t="shared" si="3"/>
        <v>Vào</v>
      </c>
      <c r="I19" s="53" t="str">
        <f t="shared" si="4"/>
        <v>Sáng</v>
      </c>
      <c r="J19" s="53" t="s">
        <v>39</v>
      </c>
      <c r="K19" s="53" t="s">
        <v>102</v>
      </c>
      <c r="L19" s="54">
        <f t="shared" si="5"/>
        <v>43792</v>
      </c>
      <c r="M19" s="54"/>
    </row>
    <row r="20" spans="1:13" s="47" customFormat="1" ht="13.8" x14ac:dyDescent="0.3">
      <c r="A20" s="1" t="s">
        <v>36</v>
      </c>
      <c r="B20" s="3">
        <v>43791.730613425927</v>
      </c>
      <c r="C20" s="2" t="s">
        <v>37</v>
      </c>
      <c r="D20" s="2" t="str">
        <f t="shared" si="0"/>
        <v>NV101</v>
      </c>
      <c r="E20" s="2" t="s">
        <v>0</v>
      </c>
      <c r="F20" s="2" t="str">
        <f t="shared" si="1"/>
        <v>NV10143791RaChiều</v>
      </c>
      <c r="G20" s="52" t="str">
        <f t="shared" si="2"/>
        <v>17:32:05</v>
      </c>
      <c r="H20" s="53" t="str">
        <f t="shared" si="3"/>
        <v>Ra</v>
      </c>
      <c r="I20" s="53" t="str">
        <f t="shared" si="4"/>
        <v>Chiều</v>
      </c>
      <c r="J20" s="53" t="s">
        <v>37</v>
      </c>
      <c r="K20" s="53" t="s">
        <v>103</v>
      </c>
      <c r="L20" s="54">
        <f t="shared" si="5"/>
        <v>43791</v>
      </c>
      <c r="M20" s="54"/>
    </row>
    <row r="21" spans="1:13" s="47" customFormat="1" ht="13.8" x14ac:dyDescent="0.3">
      <c r="A21" s="1" t="s">
        <v>36</v>
      </c>
      <c r="B21" s="3">
        <v>43791.334953703699</v>
      </c>
      <c r="C21" s="2" t="s">
        <v>37</v>
      </c>
      <c r="D21" s="2" t="str">
        <f t="shared" si="0"/>
        <v>NV101</v>
      </c>
      <c r="E21" s="2" t="s">
        <v>0</v>
      </c>
      <c r="F21" s="2" t="str">
        <f t="shared" si="1"/>
        <v>NV10143791VàoSáng</v>
      </c>
      <c r="G21" s="52" t="str">
        <f t="shared" si="2"/>
        <v>08:02:20</v>
      </c>
      <c r="H21" s="53" t="str">
        <f t="shared" si="3"/>
        <v>Vào</v>
      </c>
      <c r="I21" s="53" t="str">
        <f t="shared" si="4"/>
        <v>Sáng</v>
      </c>
      <c r="J21" s="53" t="s">
        <v>39</v>
      </c>
      <c r="K21" s="53" t="s">
        <v>102</v>
      </c>
      <c r="L21" s="54">
        <f t="shared" si="5"/>
        <v>43791</v>
      </c>
      <c r="M21" s="54"/>
    </row>
    <row r="22" spans="1:13" s="47" customFormat="1" ht="13.8" x14ac:dyDescent="0.3">
      <c r="A22" s="1" t="s">
        <v>36</v>
      </c>
      <c r="B22" s="3">
        <v>43790.73065972222</v>
      </c>
      <c r="C22" s="2" t="s">
        <v>37</v>
      </c>
      <c r="D22" s="2" t="str">
        <f t="shared" si="0"/>
        <v>NV101</v>
      </c>
      <c r="E22" s="2" t="s">
        <v>0</v>
      </c>
      <c r="F22" s="2" t="str">
        <f t="shared" si="1"/>
        <v>NV10143790RaChiều</v>
      </c>
      <c r="G22" s="52" t="str">
        <f t="shared" si="2"/>
        <v>17:32:09</v>
      </c>
      <c r="H22" s="53" t="str">
        <f t="shared" si="3"/>
        <v>Ra</v>
      </c>
      <c r="I22" s="53" t="str">
        <f t="shared" si="4"/>
        <v>Chiều</v>
      </c>
      <c r="J22" s="53" t="s">
        <v>37</v>
      </c>
      <c r="K22" s="53" t="s">
        <v>103</v>
      </c>
      <c r="L22" s="54">
        <f t="shared" si="5"/>
        <v>43790</v>
      </c>
      <c r="M22" s="54"/>
    </row>
    <row r="23" spans="1:13" s="47" customFormat="1" ht="13.8" x14ac:dyDescent="0.3">
      <c r="A23" s="1" t="s">
        <v>36</v>
      </c>
      <c r="B23" s="3">
        <v>43790.33357638889</v>
      </c>
      <c r="C23" s="2" t="s">
        <v>37</v>
      </c>
      <c r="D23" s="2" t="str">
        <f t="shared" si="0"/>
        <v>NV101</v>
      </c>
      <c r="E23" s="2" t="s">
        <v>0</v>
      </c>
      <c r="F23" s="2" t="str">
        <f t="shared" si="1"/>
        <v>NV10143790VàoSáng</v>
      </c>
      <c r="G23" s="52" t="str">
        <f t="shared" si="2"/>
        <v>08:00:21</v>
      </c>
      <c r="H23" s="53" t="str">
        <f t="shared" si="3"/>
        <v>Vào</v>
      </c>
      <c r="I23" s="53" t="str">
        <f t="shared" si="4"/>
        <v>Sáng</v>
      </c>
      <c r="J23" s="53" t="s">
        <v>39</v>
      </c>
      <c r="K23" s="53" t="s">
        <v>102</v>
      </c>
      <c r="L23" s="54">
        <f t="shared" si="5"/>
        <v>43790</v>
      </c>
      <c r="M23" s="54"/>
    </row>
    <row r="24" spans="1:13" s="47" customFormat="1" ht="13.8" x14ac:dyDescent="0.3">
      <c r="A24" s="1" t="s">
        <v>36</v>
      </c>
      <c r="B24" s="3">
        <v>43789.73028935185</v>
      </c>
      <c r="C24" s="2" t="s">
        <v>37</v>
      </c>
      <c r="D24" s="2" t="str">
        <f t="shared" si="0"/>
        <v>NV101</v>
      </c>
      <c r="E24" s="2" t="s">
        <v>0</v>
      </c>
      <c r="F24" s="2" t="str">
        <f t="shared" si="1"/>
        <v>NV10143789RaChiều</v>
      </c>
      <c r="G24" s="52" t="str">
        <f t="shared" si="2"/>
        <v>17:31:37</v>
      </c>
      <c r="H24" s="53" t="str">
        <f t="shared" si="3"/>
        <v>Ra</v>
      </c>
      <c r="I24" s="53" t="str">
        <f t="shared" si="4"/>
        <v>Chiều</v>
      </c>
      <c r="J24" s="53" t="s">
        <v>37</v>
      </c>
      <c r="K24" s="53" t="s">
        <v>103</v>
      </c>
      <c r="L24" s="54">
        <f t="shared" si="5"/>
        <v>43789</v>
      </c>
      <c r="M24" s="54"/>
    </row>
    <row r="25" spans="1:13" s="47" customFormat="1" ht="13.8" x14ac:dyDescent="0.3">
      <c r="A25" s="1" t="s">
        <v>36</v>
      </c>
      <c r="B25" s="3">
        <v>43789.343310185184</v>
      </c>
      <c r="C25" s="2" t="s">
        <v>37</v>
      </c>
      <c r="D25" s="2" t="str">
        <f t="shared" si="0"/>
        <v>NV101</v>
      </c>
      <c r="E25" s="2" t="s">
        <v>0</v>
      </c>
      <c r="F25" s="2" t="str">
        <f t="shared" si="1"/>
        <v>NV10143789VàoSáng</v>
      </c>
      <c r="G25" s="52" t="str">
        <f t="shared" si="2"/>
        <v>08:14:22</v>
      </c>
      <c r="H25" s="53" t="str">
        <f t="shared" si="3"/>
        <v>Vào</v>
      </c>
      <c r="I25" s="53" t="str">
        <f t="shared" si="4"/>
        <v>Sáng</v>
      </c>
      <c r="J25" s="53" t="s">
        <v>39</v>
      </c>
      <c r="K25" s="53" t="s">
        <v>102</v>
      </c>
      <c r="L25" s="54">
        <f t="shared" si="5"/>
        <v>43789</v>
      </c>
      <c r="M25" s="54"/>
    </row>
    <row r="26" spans="1:13" s="47" customFormat="1" ht="13.8" x14ac:dyDescent="0.3">
      <c r="A26" s="1" t="s">
        <v>36</v>
      </c>
      <c r="B26" s="3">
        <v>43788.730358796296</v>
      </c>
      <c r="C26" s="2" t="s">
        <v>37</v>
      </c>
      <c r="D26" s="2" t="str">
        <f t="shared" si="0"/>
        <v>NV101</v>
      </c>
      <c r="E26" s="2" t="s">
        <v>0</v>
      </c>
      <c r="F26" s="2" t="str">
        <f t="shared" si="1"/>
        <v>NV10143788RaChiều</v>
      </c>
      <c r="G26" s="52" t="str">
        <f t="shared" si="2"/>
        <v>17:31:43</v>
      </c>
      <c r="H26" s="53" t="str">
        <f t="shared" si="3"/>
        <v>Ra</v>
      </c>
      <c r="I26" s="53" t="str">
        <f t="shared" si="4"/>
        <v>Chiều</v>
      </c>
      <c r="J26" s="53" t="s">
        <v>37</v>
      </c>
      <c r="K26" s="53" t="s">
        <v>103</v>
      </c>
      <c r="L26" s="54">
        <f t="shared" si="5"/>
        <v>43788</v>
      </c>
      <c r="M26" s="54"/>
    </row>
    <row r="27" spans="1:13" s="47" customFormat="1" ht="13.8" x14ac:dyDescent="0.3">
      <c r="A27" s="1" t="s">
        <v>36</v>
      </c>
      <c r="B27" s="3">
        <v>43788.337025462963</v>
      </c>
      <c r="C27" s="2" t="s">
        <v>37</v>
      </c>
      <c r="D27" s="2" t="str">
        <f t="shared" si="0"/>
        <v>NV101</v>
      </c>
      <c r="E27" s="2" t="s">
        <v>0</v>
      </c>
      <c r="F27" s="2" t="str">
        <f t="shared" si="1"/>
        <v>NV10143788VàoSáng</v>
      </c>
      <c r="G27" s="52" t="str">
        <f t="shared" si="2"/>
        <v>08:05:19</v>
      </c>
      <c r="H27" s="53" t="str">
        <f t="shared" si="3"/>
        <v>Vào</v>
      </c>
      <c r="I27" s="53" t="str">
        <f t="shared" si="4"/>
        <v>Sáng</v>
      </c>
      <c r="J27" s="53" t="s">
        <v>39</v>
      </c>
      <c r="K27" s="53" t="s">
        <v>102</v>
      </c>
      <c r="L27" s="54">
        <f t="shared" si="5"/>
        <v>43788</v>
      </c>
      <c r="M27" s="54"/>
    </row>
    <row r="28" spans="1:13" s="47" customFormat="1" ht="13.8" x14ac:dyDescent="0.3">
      <c r="A28" s="1" t="s">
        <v>36</v>
      </c>
      <c r="B28" s="3">
        <v>43787.730567129627</v>
      </c>
      <c r="C28" s="2" t="s">
        <v>37</v>
      </c>
      <c r="D28" s="2" t="str">
        <f t="shared" si="0"/>
        <v>NV101</v>
      </c>
      <c r="E28" s="2" t="s">
        <v>0</v>
      </c>
      <c r="F28" s="2" t="str">
        <f t="shared" si="1"/>
        <v>NV10143787RaChiều</v>
      </c>
      <c r="G28" s="52" t="str">
        <f t="shared" si="2"/>
        <v>17:32:01</v>
      </c>
      <c r="H28" s="53" t="str">
        <f t="shared" si="3"/>
        <v>Ra</v>
      </c>
      <c r="I28" s="53" t="str">
        <f t="shared" si="4"/>
        <v>Chiều</v>
      </c>
      <c r="J28" s="53" t="s">
        <v>37</v>
      </c>
      <c r="K28" s="53" t="s">
        <v>103</v>
      </c>
      <c r="L28" s="54">
        <f t="shared" si="5"/>
        <v>43787</v>
      </c>
      <c r="M28" s="54"/>
    </row>
    <row r="29" spans="1:13" s="47" customFormat="1" ht="13.8" x14ac:dyDescent="0.3">
      <c r="A29" s="1" t="s">
        <v>36</v>
      </c>
      <c r="B29" s="3">
        <v>43787.334270833329</v>
      </c>
      <c r="C29" s="2" t="s">
        <v>37</v>
      </c>
      <c r="D29" s="2" t="str">
        <f t="shared" si="0"/>
        <v>NV101</v>
      </c>
      <c r="E29" s="2" t="s">
        <v>0</v>
      </c>
      <c r="F29" s="2" t="str">
        <f t="shared" si="1"/>
        <v>NV10143787VàoSáng</v>
      </c>
      <c r="G29" s="52" t="str">
        <f t="shared" si="2"/>
        <v>08:01:21</v>
      </c>
      <c r="H29" s="53" t="str">
        <f t="shared" si="3"/>
        <v>Vào</v>
      </c>
      <c r="I29" s="53" t="str">
        <f t="shared" si="4"/>
        <v>Sáng</v>
      </c>
      <c r="J29" s="53" t="s">
        <v>39</v>
      </c>
      <c r="K29" s="53" t="s">
        <v>102</v>
      </c>
      <c r="L29" s="54">
        <f t="shared" si="5"/>
        <v>43787</v>
      </c>
      <c r="M29" s="54"/>
    </row>
    <row r="30" spans="1:13" s="47" customFormat="1" ht="13.8" x14ac:dyDescent="0.3">
      <c r="A30" s="1" t="s">
        <v>36</v>
      </c>
      <c r="B30" s="3">
        <v>43784.729571759257</v>
      </c>
      <c r="C30" s="2" t="s">
        <v>37</v>
      </c>
      <c r="D30" s="2" t="str">
        <f t="shared" si="0"/>
        <v>NV101</v>
      </c>
      <c r="E30" s="2" t="s">
        <v>0</v>
      </c>
      <c r="F30" s="2" t="str">
        <f t="shared" si="1"/>
        <v>NV10143784RaChiều</v>
      </c>
      <c r="G30" s="52" t="str">
        <f t="shared" si="2"/>
        <v>17:30:35</v>
      </c>
      <c r="H30" s="53" t="str">
        <f t="shared" si="3"/>
        <v>Ra</v>
      </c>
      <c r="I30" s="53" t="str">
        <f t="shared" si="4"/>
        <v>Chiều</v>
      </c>
      <c r="J30" s="53" t="s">
        <v>37</v>
      </c>
      <c r="K30" s="53" t="s">
        <v>103</v>
      </c>
      <c r="L30" s="54">
        <f t="shared" si="5"/>
        <v>43784</v>
      </c>
      <c r="M30" s="54"/>
    </row>
    <row r="31" spans="1:13" s="47" customFormat="1" ht="13.8" x14ac:dyDescent="0.3">
      <c r="A31" s="1" t="s">
        <v>36</v>
      </c>
      <c r="B31" s="3">
        <v>43784.33662037037</v>
      </c>
      <c r="C31" s="2" t="s">
        <v>37</v>
      </c>
      <c r="D31" s="2" t="str">
        <f t="shared" si="0"/>
        <v>NV101</v>
      </c>
      <c r="E31" s="2" t="s">
        <v>0</v>
      </c>
      <c r="F31" s="2" t="str">
        <f t="shared" si="1"/>
        <v>NV10143784VàoSáng</v>
      </c>
      <c r="G31" s="52" t="str">
        <f t="shared" si="2"/>
        <v>08:04:44</v>
      </c>
      <c r="H31" s="53" t="str">
        <f t="shared" si="3"/>
        <v>Vào</v>
      </c>
      <c r="I31" s="53" t="str">
        <f t="shared" si="4"/>
        <v>Sáng</v>
      </c>
      <c r="J31" s="53" t="s">
        <v>39</v>
      </c>
      <c r="K31" s="53" t="s">
        <v>102</v>
      </c>
      <c r="L31" s="54">
        <f t="shared" si="5"/>
        <v>43784</v>
      </c>
      <c r="M31" s="54"/>
    </row>
    <row r="32" spans="1:13" s="47" customFormat="1" ht="13.8" x14ac:dyDescent="0.3">
      <c r="A32" s="1" t="s">
        <v>36</v>
      </c>
      <c r="B32" s="3">
        <v>43783.729988425926</v>
      </c>
      <c r="C32" s="2" t="s">
        <v>37</v>
      </c>
      <c r="D32" s="2" t="str">
        <f t="shared" si="0"/>
        <v>NV101</v>
      </c>
      <c r="E32" s="2" t="s">
        <v>0</v>
      </c>
      <c r="F32" s="2" t="str">
        <f t="shared" si="1"/>
        <v>NV10143783RaChiều</v>
      </c>
      <c r="G32" s="52" t="str">
        <f t="shared" si="2"/>
        <v>17:31:11</v>
      </c>
      <c r="H32" s="53" t="str">
        <f t="shared" si="3"/>
        <v>Ra</v>
      </c>
      <c r="I32" s="53" t="str">
        <f t="shared" si="4"/>
        <v>Chiều</v>
      </c>
      <c r="J32" s="53" t="s">
        <v>37</v>
      </c>
      <c r="K32" s="53" t="s">
        <v>103</v>
      </c>
      <c r="L32" s="54">
        <f t="shared" si="5"/>
        <v>43783</v>
      </c>
      <c r="M32" s="54"/>
    </row>
    <row r="33" spans="1:13" s="47" customFormat="1" ht="13.8" x14ac:dyDescent="0.3">
      <c r="A33" s="1" t="s">
        <v>36</v>
      </c>
      <c r="B33" s="3">
        <v>43783.335879629631</v>
      </c>
      <c r="C33" s="2" t="s">
        <v>37</v>
      </c>
      <c r="D33" s="2" t="str">
        <f t="shared" si="0"/>
        <v>NV101</v>
      </c>
      <c r="E33" s="2" t="s">
        <v>0</v>
      </c>
      <c r="F33" s="2" t="str">
        <f t="shared" si="1"/>
        <v>NV10143783VàoSáng</v>
      </c>
      <c r="G33" s="52" t="str">
        <f t="shared" si="2"/>
        <v>08:03:40</v>
      </c>
      <c r="H33" s="53" t="str">
        <f t="shared" si="3"/>
        <v>Vào</v>
      </c>
      <c r="I33" s="53" t="str">
        <f t="shared" si="4"/>
        <v>Sáng</v>
      </c>
      <c r="J33" s="53" t="s">
        <v>39</v>
      </c>
      <c r="K33" s="53" t="s">
        <v>102</v>
      </c>
      <c r="L33" s="54">
        <f t="shared" si="5"/>
        <v>43783</v>
      </c>
      <c r="M33" s="54"/>
    </row>
    <row r="34" spans="1:13" s="47" customFormat="1" ht="13.8" x14ac:dyDescent="0.3">
      <c r="A34" s="1" t="s">
        <v>36</v>
      </c>
      <c r="B34" s="3">
        <v>43782.730208333334</v>
      </c>
      <c r="C34" s="2" t="s">
        <v>37</v>
      </c>
      <c r="D34" s="2" t="str">
        <f t="shared" si="0"/>
        <v>NV101</v>
      </c>
      <c r="E34" s="2" t="s">
        <v>0</v>
      </c>
      <c r="F34" s="2" t="str">
        <f t="shared" si="1"/>
        <v>NV10143782RaChiều</v>
      </c>
      <c r="G34" s="52" t="str">
        <f t="shared" si="2"/>
        <v>17:31:30</v>
      </c>
      <c r="H34" s="53" t="str">
        <f t="shared" si="3"/>
        <v>Ra</v>
      </c>
      <c r="I34" s="53" t="str">
        <f t="shared" si="4"/>
        <v>Chiều</v>
      </c>
      <c r="J34" s="53" t="s">
        <v>37</v>
      </c>
      <c r="K34" s="53" t="s">
        <v>103</v>
      </c>
      <c r="L34" s="54">
        <f t="shared" si="5"/>
        <v>43782</v>
      </c>
      <c r="M34" s="54"/>
    </row>
    <row r="35" spans="1:13" s="47" customFormat="1" ht="13.8" x14ac:dyDescent="0.3">
      <c r="A35" s="1" t="s">
        <v>36</v>
      </c>
      <c r="B35" s="3">
        <v>43782.329224537032</v>
      </c>
      <c r="C35" s="2" t="s">
        <v>37</v>
      </c>
      <c r="D35" s="2" t="str">
        <f t="shared" si="0"/>
        <v>NV101</v>
      </c>
      <c r="E35" s="2" t="s">
        <v>0</v>
      </c>
      <c r="F35" s="2" t="str">
        <f t="shared" si="1"/>
        <v>NV10143782VàoSáng</v>
      </c>
      <c r="G35" s="52" t="str">
        <f t="shared" si="2"/>
        <v>07:54:05</v>
      </c>
      <c r="H35" s="53" t="str">
        <f t="shared" si="3"/>
        <v>Vào</v>
      </c>
      <c r="I35" s="53" t="str">
        <f t="shared" si="4"/>
        <v>Sáng</v>
      </c>
      <c r="J35" s="53" t="s">
        <v>39</v>
      </c>
      <c r="K35" s="53" t="s">
        <v>102</v>
      </c>
      <c r="L35" s="54">
        <f t="shared" si="5"/>
        <v>43782</v>
      </c>
      <c r="M35" s="54"/>
    </row>
    <row r="36" spans="1:13" s="47" customFormat="1" ht="13.8" x14ac:dyDescent="0.3">
      <c r="A36" s="1" t="s">
        <v>36</v>
      </c>
      <c r="B36" s="3">
        <v>43781.729849537034</v>
      </c>
      <c r="C36" s="2" t="s">
        <v>37</v>
      </c>
      <c r="D36" s="2" t="str">
        <f t="shared" si="0"/>
        <v>NV101</v>
      </c>
      <c r="E36" s="2" t="s">
        <v>0</v>
      </c>
      <c r="F36" s="2" t="str">
        <f t="shared" si="1"/>
        <v>NV10143781RaChiều</v>
      </c>
      <c r="G36" s="52" t="str">
        <f t="shared" si="2"/>
        <v>17:30:59</v>
      </c>
      <c r="H36" s="53" t="str">
        <f t="shared" si="3"/>
        <v>Ra</v>
      </c>
      <c r="I36" s="53" t="str">
        <f t="shared" si="4"/>
        <v>Chiều</v>
      </c>
      <c r="J36" s="53" t="s">
        <v>37</v>
      </c>
      <c r="K36" s="53" t="s">
        <v>103</v>
      </c>
      <c r="L36" s="54">
        <f t="shared" si="5"/>
        <v>43781</v>
      </c>
      <c r="M36" s="54"/>
    </row>
    <row r="37" spans="1:13" s="47" customFormat="1" ht="13.8" x14ac:dyDescent="0.3">
      <c r="A37" s="1" t="s">
        <v>36</v>
      </c>
      <c r="B37" s="3">
        <v>43781.340324074074</v>
      </c>
      <c r="C37" s="2" t="s">
        <v>37</v>
      </c>
      <c r="D37" s="2" t="str">
        <f t="shared" si="0"/>
        <v>NV101</v>
      </c>
      <c r="E37" s="2" t="s">
        <v>0</v>
      </c>
      <c r="F37" s="2" t="str">
        <f t="shared" si="1"/>
        <v>NV10143781VàoSáng</v>
      </c>
      <c r="G37" s="52" t="str">
        <f t="shared" si="2"/>
        <v>08:10:04</v>
      </c>
      <c r="H37" s="53" t="str">
        <f t="shared" si="3"/>
        <v>Vào</v>
      </c>
      <c r="I37" s="53" t="str">
        <f t="shared" si="4"/>
        <v>Sáng</v>
      </c>
      <c r="J37" s="53" t="s">
        <v>39</v>
      </c>
      <c r="K37" s="53" t="s">
        <v>102</v>
      </c>
      <c r="L37" s="54">
        <f t="shared" si="5"/>
        <v>43781</v>
      </c>
      <c r="M37" s="54"/>
    </row>
    <row r="38" spans="1:13" s="47" customFormat="1" ht="13.8" x14ac:dyDescent="0.3">
      <c r="A38" s="1" t="s">
        <v>36</v>
      </c>
      <c r="B38" s="3">
        <v>43780.730995370366</v>
      </c>
      <c r="C38" s="2" t="s">
        <v>37</v>
      </c>
      <c r="D38" s="2" t="str">
        <f t="shared" si="0"/>
        <v>NV101</v>
      </c>
      <c r="E38" s="2" t="s">
        <v>0</v>
      </c>
      <c r="F38" s="2" t="str">
        <f t="shared" si="1"/>
        <v>NV10143780RaChiều</v>
      </c>
      <c r="G38" s="52" t="str">
        <f t="shared" si="2"/>
        <v>17:32:38</v>
      </c>
      <c r="H38" s="53" t="str">
        <f t="shared" si="3"/>
        <v>Ra</v>
      </c>
      <c r="I38" s="53" t="str">
        <f t="shared" si="4"/>
        <v>Chiều</v>
      </c>
      <c r="J38" s="53" t="s">
        <v>37</v>
      </c>
      <c r="K38" s="53" t="s">
        <v>103</v>
      </c>
      <c r="L38" s="54">
        <f t="shared" si="5"/>
        <v>43780</v>
      </c>
      <c r="M38" s="54"/>
    </row>
    <row r="39" spans="1:13" s="47" customFormat="1" ht="13.8" x14ac:dyDescent="0.3">
      <c r="A39" s="1" t="s">
        <v>36</v>
      </c>
      <c r="B39" s="3">
        <v>43780.338263888887</v>
      </c>
      <c r="C39" s="2" t="s">
        <v>37</v>
      </c>
      <c r="D39" s="2" t="str">
        <f t="shared" si="0"/>
        <v>NV101</v>
      </c>
      <c r="E39" s="2" t="s">
        <v>0</v>
      </c>
      <c r="F39" s="2" t="str">
        <f t="shared" si="1"/>
        <v>NV10143780VàoSáng</v>
      </c>
      <c r="G39" s="52" t="str">
        <f t="shared" si="2"/>
        <v>08:07:06</v>
      </c>
      <c r="H39" s="53" t="str">
        <f t="shared" si="3"/>
        <v>Vào</v>
      </c>
      <c r="I39" s="53" t="str">
        <f t="shared" si="4"/>
        <v>Sáng</v>
      </c>
      <c r="J39" s="53" t="s">
        <v>39</v>
      </c>
      <c r="K39" s="53" t="s">
        <v>102</v>
      </c>
      <c r="L39" s="54">
        <f t="shared" si="5"/>
        <v>43780</v>
      </c>
      <c r="M39" s="54"/>
    </row>
    <row r="40" spans="1:13" s="47" customFormat="1" ht="13.8" x14ac:dyDescent="0.3">
      <c r="A40" s="1" t="s">
        <v>36</v>
      </c>
      <c r="B40" s="3">
        <v>43778.72956018518</v>
      </c>
      <c r="C40" s="2" t="s">
        <v>37</v>
      </c>
      <c r="D40" s="2" t="str">
        <f t="shared" si="0"/>
        <v>NV101</v>
      </c>
      <c r="E40" s="2" t="s">
        <v>0</v>
      </c>
      <c r="F40" s="2" t="str">
        <f t="shared" si="1"/>
        <v>NV10143778RaChiều</v>
      </c>
      <c r="G40" s="52" t="str">
        <f t="shared" si="2"/>
        <v>17:30:34</v>
      </c>
      <c r="H40" s="53" t="str">
        <f t="shared" si="3"/>
        <v>Ra</v>
      </c>
      <c r="I40" s="53" t="str">
        <f t="shared" si="4"/>
        <v>Chiều</v>
      </c>
      <c r="J40" s="53" t="s">
        <v>37</v>
      </c>
      <c r="K40" s="53" t="s">
        <v>103</v>
      </c>
      <c r="L40" s="54">
        <f t="shared" si="5"/>
        <v>43778</v>
      </c>
      <c r="M40" s="54"/>
    </row>
    <row r="41" spans="1:13" s="47" customFormat="1" ht="13.8" x14ac:dyDescent="0.3">
      <c r="A41" s="1" t="s">
        <v>36</v>
      </c>
      <c r="B41" s="3">
        <v>43778.330405092587</v>
      </c>
      <c r="C41" s="2" t="s">
        <v>37</v>
      </c>
      <c r="D41" s="2" t="str">
        <f t="shared" si="0"/>
        <v>NV101</v>
      </c>
      <c r="E41" s="2" t="s">
        <v>0</v>
      </c>
      <c r="F41" s="2" t="str">
        <f t="shared" si="1"/>
        <v>NV10143778VàoSáng</v>
      </c>
      <c r="G41" s="52" t="str">
        <f t="shared" si="2"/>
        <v>07:55:47</v>
      </c>
      <c r="H41" s="53" t="str">
        <f t="shared" si="3"/>
        <v>Vào</v>
      </c>
      <c r="I41" s="53" t="str">
        <f t="shared" si="4"/>
        <v>Sáng</v>
      </c>
      <c r="J41" s="53" t="s">
        <v>39</v>
      </c>
      <c r="K41" s="53" t="s">
        <v>102</v>
      </c>
      <c r="L41" s="54">
        <f t="shared" si="5"/>
        <v>43778</v>
      </c>
      <c r="M41" s="54"/>
    </row>
    <row r="42" spans="1:13" s="47" customFormat="1" ht="13.8" x14ac:dyDescent="0.3">
      <c r="A42" s="1" t="s">
        <v>36</v>
      </c>
      <c r="B42" s="3">
        <v>43777.730277777773</v>
      </c>
      <c r="C42" s="2" t="s">
        <v>37</v>
      </c>
      <c r="D42" s="2" t="str">
        <f t="shared" si="0"/>
        <v>NV101</v>
      </c>
      <c r="E42" s="2" t="s">
        <v>0</v>
      </c>
      <c r="F42" s="2" t="str">
        <f t="shared" si="1"/>
        <v>NV10143777RaChiều</v>
      </c>
      <c r="G42" s="52" t="str">
        <f t="shared" si="2"/>
        <v>17:31:36</v>
      </c>
      <c r="H42" s="53" t="str">
        <f t="shared" si="3"/>
        <v>Ra</v>
      </c>
      <c r="I42" s="53" t="str">
        <f t="shared" si="4"/>
        <v>Chiều</v>
      </c>
      <c r="J42" s="53" t="s">
        <v>37</v>
      </c>
      <c r="K42" s="53" t="s">
        <v>103</v>
      </c>
      <c r="L42" s="54">
        <f t="shared" si="5"/>
        <v>43777</v>
      </c>
      <c r="M42" s="54"/>
    </row>
    <row r="43" spans="1:13" s="47" customFormat="1" ht="13.8" x14ac:dyDescent="0.3">
      <c r="A43" s="1" t="s">
        <v>36</v>
      </c>
      <c r="B43" s="3">
        <v>43777.335844907408</v>
      </c>
      <c r="C43" s="2" t="s">
        <v>37</v>
      </c>
      <c r="D43" s="2" t="str">
        <f t="shared" si="0"/>
        <v>NV101</v>
      </c>
      <c r="E43" s="2" t="s">
        <v>0</v>
      </c>
      <c r="F43" s="2" t="str">
        <f t="shared" si="1"/>
        <v>NV10143777VàoSáng</v>
      </c>
      <c r="G43" s="52" t="str">
        <f t="shared" si="2"/>
        <v>08:03:37</v>
      </c>
      <c r="H43" s="53" t="str">
        <f t="shared" si="3"/>
        <v>Vào</v>
      </c>
      <c r="I43" s="53" t="str">
        <f t="shared" si="4"/>
        <v>Sáng</v>
      </c>
      <c r="J43" s="53" t="s">
        <v>39</v>
      </c>
      <c r="K43" s="53" t="s">
        <v>102</v>
      </c>
      <c r="L43" s="54">
        <f t="shared" si="5"/>
        <v>43777</v>
      </c>
      <c r="M43" s="54"/>
    </row>
    <row r="44" spans="1:13" s="47" customFormat="1" ht="13.8" x14ac:dyDescent="0.3">
      <c r="A44" s="1" t="s">
        <v>36</v>
      </c>
      <c r="B44" s="3">
        <v>43776.731446759259</v>
      </c>
      <c r="C44" s="2" t="s">
        <v>37</v>
      </c>
      <c r="D44" s="2" t="str">
        <f t="shared" si="0"/>
        <v>NV101</v>
      </c>
      <c r="E44" s="2" t="s">
        <v>0</v>
      </c>
      <c r="F44" s="2" t="str">
        <f t="shared" si="1"/>
        <v>NV10143776RaChiều</v>
      </c>
      <c r="G44" s="52" t="str">
        <f t="shared" si="2"/>
        <v>17:33:17</v>
      </c>
      <c r="H44" s="53" t="str">
        <f t="shared" si="3"/>
        <v>Ra</v>
      </c>
      <c r="I44" s="53" t="str">
        <f t="shared" si="4"/>
        <v>Chiều</v>
      </c>
      <c r="J44" s="53" t="s">
        <v>37</v>
      </c>
      <c r="K44" s="53" t="s">
        <v>103</v>
      </c>
      <c r="L44" s="54">
        <f t="shared" si="5"/>
        <v>43776</v>
      </c>
      <c r="M44" s="54"/>
    </row>
    <row r="45" spans="1:13" s="47" customFormat="1" ht="13.8" x14ac:dyDescent="0.3">
      <c r="A45" s="1" t="s">
        <v>36</v>
      </c>
      <c r="B45" s="3">
        <v>43776.329513888886</v>
      </c>
      <c r="C45" s="2" t="s">
        <v>37</v>
      </c>
      <c r="D45" s="2" t="str">
        <f t="shared" si="0"/>
        <v>NV101</v>
      </c>
      <c r="E45" s="2" t="s">
        <v>0</v>
      </c>
      <c r="F45" s="2" t="str">
        <f t="shared" si="1"/>
        <v>NV10143776VàoSáng</v>
      </c>
      <c r="G45" s="52" t="str">
        <f t="shared" si="2"/>
        <v>07:54:30</v>
      </c>
      <c r="H45" s="53" t="str">
        <f t="shared" si="3"/>
        <v>Vào</v>
      </c>
      <c r="I45" s="53" t="str">
        <f t="shared" si="4"/>
        <v>Sáng</v>
      </c>
      <c r="J45" s="53" t="s">
        <v>39</v>
      </c>
      <c r="K45" s="53" t="s">
        <v>102</v>
      </c>
      <c r="L45" s="54">
        <f t="shared" si="5"/>
        <v>43776</v>
      </c>
      <c r="M45" s="54"/>
    </row>
    <row r="46" spans="1:13" s="47" customFormat="1" ht="13.8" x14ac:dyDescent="0.3">
      <c r="A46" s="1" t="s">
        <v>38</v>
      </c>
      <c r="B46" s="3">
        <v>43798.336030092592</v>
      </c>
      <c r="C46" s="2" t="s">
        <v>39</v>
      </c>
      <c r="D46" s="2" t="str">
        <f t="shared" si="0"/>
        <v>NV107</v>
      </c>
      <c r="E46" s="2" t="s">
        <v>0</v>
      </c>
      <c r="F46" s="2" t="str">
        <f t="shared" si="1"/>
        <v>NV10743798VàoSáng</v>
      </c>
      <c r="G46" s="52" t="str">
        <f t="shared" si="2"/>
        <v>08:03:53</v>
      </c>
      <c r="H46" s="53" t="str">
        <f t="shared" si="3"/>
        <v>Vào</v>
      </c>
      <c r="I46" s="53" t="str">
        <f t="shared" si="4"/>
        <v>Sáng</v>
      </c>
      <c r="J46" s="53" t="s">
        <v>39</v>
      </c>
      <c r="K46" s="53" t="s">
        <v>102</v>
      </c>
      <c r="L46" s="54">
        <f t="shared" si="5"/>
        <v>43798</v>
      </c>
      <c r="M46" s="54"/>
    </row>
    <row r="47" spans="1:13" s="47" customFormat="1" ht="13.8" x14ac:dyDescent="0.3">
      <c r="A47" s="1" t="s">
        <v>38</v>
      </c>
      <c r="B47" s="3">
        <v>43797.734097222223</v>
      </c>
      <c r="C47" s="2" t="s">
        <v>39</v>
      </c>
      <c r="D47" s="2" t="str">
        <f t="shared" si="0"/>
        <v>NV107</v>
      </c>
      <c r="E47" s="2" t="s">
        <v>0</v>
      </c>
      <c r="F47" s="2" t="str">
        <f t="shared" si="1"/>
        <v>NV10743797RaChiều</v>
      </c>
      <c r="G47" s="52" t="str">
        <f t="shared" si="2"/>
        <v>17:37:06</v>
      </c>
      <c r="H47" s="53" t="str">
        <f t="shared" si="3"/>
        <v>Ra</v>
      </c>
      <c r="I47" s="53" t="str">
        <f t="shared" si="4"/>
        <v>Chiều</v>
      </c>
      <c r="J47" s="53" t="s">
        <v>37</v>
      </c>
      <c r="K47" s="53" t="s">
        <v>103</v>
      </c>
      <c r="L47" s="54">
        <f t="shared" si="5"/>
        <v>43797</v>
      </c>
      <c r="M47" s="54"/>
    </row>
    <row r="48" spans="1:13" s="47" customFormat="1" ht="13.8" x14ac:dyDescent="0.3">
      <c r="A48" s="1" t="s">
        <v>38</v>
      </c>
      <c r="B48" s="3">
        <v>43797.327777777777</v>
      </c>
      <c r="C48" s="2" t="s">
        <v>39</v>
      </c>
      <c r="D48" s="2" t="str">
        <f t="shared" si="0"/>
        <v>NV107</v>
      </c>
      <c r="E48" s="2" t="s">
        <v>0</v>
      </c>
      <c r="F48" s="2" t="str">
        <f t="shared" si="1"/>
        <v>NV10743797VàoSáng</v>
      </c>
      <c r="G48" s="52" t="str">
        <f t="shared" si="2"/>
        <v>07:52:00</v>
      </c>
      <c r="H48" s="53" t="str">
        <f t="shared" si="3"/>
        <v>Vào</v>
      </c>
      <c r="I48" s="53" t="str">
        <f t="shared" si="4"/>
        <v>Sáng</v>
      </c>
      <c r="J48" s="53" t="s">
        <v>39</v>
      </c>
      <c r="K48" s="53" t="s">
        <v>102</v>
      </c>
      <c r="L48" s="54">
        <f t="shared" si="5"/>
        <v>43797</v>
      </c>
      <c r="M48" s="54"/>
    </row>
    <row r="49" spans="1:13" s="47" customFormat="1" ht="13.8" x14ac:dyDescent="0.3">
      <c r="A49" s="1" t="s">
        <v>38</v>
      </c>
      <c r="B49" s="3">
        <v>43796.734143518515</v>
      </c>
      <c r="C49" s="2" t="s">
        <v>39</v>
      </c>
      <c r="D49" s="2" t="str">
        <f t="shared" si="0"/>
        <v>NV107</v>
      </c>
      <c r="E49" s="2" t="s">
        <v>0</v>
      </c>
      <c r="F49" s="2" t="str">
        <f t="shared" si="1"/>
        <v>NV10743796RaChiều</v>
      </c>
      <c r="G49" s="52" t="str">
        <f t="shared" si="2"/>
        <v>17:37:10</v>
      </c>
      <c r="H49" s="53" t="str">
        <f t="shared" si="3"/>
        <v>Ra</v>
      </c>
      <c r="I49" s="53" t="str">
        <f t="shared" si="4"/>
        <v>Chiều</v>
      </c>
      <c r="J49" s="53" t="s">
        <v>37</v>
      </c>
      <c r="K49" s="53" t="s">
        <v>103</v>
      </c>
      <c r="L49" s="54">
        <f t="shared" si="5"/>
        <v>43796</v>
      </c>
      <c r="M49" s="54"/>
    </row>
    <row r="50" spans="1:13" s="47" customFormat="1" ht="13.8" x14ac:dyDescent="0.3">
      <c r="A50" s="1" t="s">
        <v>38</v>
      </c>
      <c r="B50" s="3">
        <v>43796.33390046296</v>
      </c>
      <c r="C50" s="2" t="s">
        <v>39</v>
      </c>
      <c r="D50" s="2" t="str">
        <f t="shared" si="0"/>
        <v>NV107</v>
      </c>
      <c r="E50" s="2" t="s">
        <v>0</v>
      </c>
      <c r="F50" s="2" t="str">
        <f t="shared" si="1"/>
        <v>NV10743796VàoSáng</v>
      </c>
      <c r="G50" s="52" t="str">
        <f t="shared" si="2"/>
        <v>08:00:49</v>
      </c>
      <c r="H50" s="53" t="str">
        <f t="shared" si="3"/>
        <v>Vào</v>
      </c>
      <c r="I50" s="53" t="str">
        <f t="shared" si="4"/>
        <v>Sáng</v>
      </c>
      <c r="J50" s="53" t="s">
        <v>39</v>
      </c>
      <c r="K50" s="53" t="s">
        <v>102</v>
      </c>
      <c r="L50" s="54">
        <f t="shared" si="5"/>
        <v>43796</v>
      </c>
      <c r="M50" s="54"/>
    </row>
    <row r="51" spans="1:13" s="47" customFormat="1" ht="13.8" x14ac:dyDescent="0.3">
      <c r="A51" s="1" t="s">
        <v>38</v>
      </c>
      <c r="B51" s="3">
        <v>43795.735833333332</v>
      </c>
      <c r="C51" s="2" t="s">
        <v>39</v>
      </c>
      <c r="D51" s="2" t="str">
        <f t="shared" si="0"/>
        <v>NV107</v>
      </c>
      <c r="E51" s="2" t="s">
        <v>0</v>
      </c>
      <c r="F51" s="2" t="str">
        <f t="shared" si="1"/>
        <v>NV10743795RaChiều</v>
      </c>
      <c r="G51" s="52" t="str">
        <f t="shared" si="2"/>
        <v>17:39:36</v>
      </c>
      <c r="H51" s="53" t="str">
        <f t="shared" si="3"/>
        <v>Ra</v>
      </c>
      <c r="I51" s="53" t="str">
        <f t="shared" si="4"/>
        <v>Chiều</v>
      </c>
      <c r="J51" s="53" t="s">
        <v>37</v>
      </c>
      <c r="K51" s="53" t="s">
        <v>103</v>
      </c>
      <c r="L51" s="54">
        <f t="shared" si="5"/>
        <v>43795</v>
      </c>
      <c r="M51" s="54"/>
    </row>
    <row r="52" spans="1:13" s="47" customFormat="1" ht="13.8" x14ac:dyDescent="0.3">
      <c r="A52" s="1" t="s">
        <v>38</v>
      </c>
      <c r="B52" s="3">
        <v>43795.735185185185</v>
      </c>
      <c r="C52" s="2" t="s">
        <v>39</v>
      </c>
      <c r="D52" s="2" t="str">
        <f t="shared" si="0"/>
        <v>NV107</v>
      </c>
      <c r="E52" s="2" t="s">
        <v>0</v>
      </c>
      <c r="F52" s="2" t="str">
        <f t="shared" si="1"/>
        <v>NV10743795RaChiều</v>
      </c>
      <c r="G52" s="52" t="str">
        <f t="shared" si="2"/>
        <v>17:38:40</v>
      </c>
      <c r="H52" s="53" t="str">
        <f t="shared" si="3"/>
        <v>Ra</v>
      </c>
      <c r="I52" s="53" t="str">
        <f t="shared" si="4"/>
        <v>Chiều</v>
      </c>
      <c r="J52" s="53" t="s">
        <v>37</v>
      </c>
      <c r="K52" s="53" t="s">
        <v>103</v>
      </c>
      <c r="L52" s="54">
        <f t="shared" si="5"/>
        <v>43795</v>
      </c>
      <c r="M52" s="54"/>
    </row>
    <row r="53" spans="1:13" s="47" customFormat="1" ht="13.8" x14ac:dyDescent="0.3">
      <c r="A53" s="1" t="s">
        <v>38</v>
      </c>
      <c r="B53" s="3">
        <v>43795.327731481477</v>
      </c>
      <c r="C53" s="2" t="s">
        <v>39</v>
      </c>
      <c r="D53" s="2" t="str">
        <f t="shared" si="0"/>
        <v>NV107</v>
      </c>
      <c r="E53" s="2" t="s">
        <v>0</v>
      </c>
      <c r="F53" s="2" t="str">
        <f t="shared" si="1"/>
        <v>NV10743795VàoSáng</v>
      </c>
      <c r="G53" s="52" t="str">
        <f t="shared" si="2"/>
        <v>07:51:56</v>
      </c>
      <c r="H53" s="53" t="str">
        <f t="shared" si="3"/>
        <v>Vào</v>
      </c>
      <c r="I53" s="53" t="str">
        <f t="shared" si="4"/>
        <v>Sáng</v>
      </c>
      <c r="J53" s="53" t="s">
        <v>39</v>
      </c>
      <c r="K53" s="53" t="s">
        <v>102</v>
      </c>
      <c r="L53" s="54">
        <f t="shared" si="5"/>
        <v>43795</v>
      </c>
      <c r="M53" s="54"/>
    </row>
    <row r="54" spans="1:13" s="47" customFormat="1" ht="13.8" x14ac:dyDescent="0.3">
      <c r="A54" s="1" t="s">
        <v>38</v>
      </c>
      <c r="B54" s="3">
        <v>43794.689004629625</v>
      </c>
      <c r="C54" s="2" t="s">
        <v>39</v>
      </c>
      <c r="D54" s="2" t="str">
        <f t="shared" si="0"/>
        <v>NV107</v>
      </c>
      <c r="E54" s="2" t="s">
        <v>0</v>
      </c>
      <c r="F54" s="2" t="str">
        <f t="shared" si="1"/>
        <v>NV10743794RaChiều</v>
      </c>
      <c r="G54" s="52" t="str">
        <f t="shared" si="2"/>
        <v>16:32:10</v>
      </c>
      <c r="H54" s="53" t="str">
        <f t="shared" si="3"/>
        <v>Ra</v>
      </c>
      <c r="I54" s="53" t="str">
        <f t="shared" si="4"/>
        <v>Chiều</v>
      </c>
      <c r="J54" s="53" t="s">
        <v>37</v>
      </c>
      <c r="K54" s="53" t="s">
        <v>103</v>
      </c>
      <c r="L54" s="54">
        <f t="shared" si="5"/>
        <v>43794</v>
      </c>
      <c r="M54" s="54"/>
    </row>
    <row r="55" spans="1:13" s="47" customFormat="1" ht="13.8" x14ac:dyDescent="0.3">
      <c r="A55" s="1" t="s">
        <v>38</v>
      </c>
      <c r="B55" s="3">
        <v>43794.332638888889</v>
      </c>
      <c r="C55" s="2" t="s">
        <v>39</v>
      </c>
      <c r="D55" s="2" t="str">
        <f t="shared" si="0"/>
        <v>NV107</v>
      </c>
      <c r="E55" s="2" t="s">
        <v>0</v>
      </c>
      <c r="F55" s="2" t="str">
        <f t="shared" si="1"/>
        <v>NV10743794VàoSáng</v>
      </c>
      <c r="G55" s="52" t="str">
        <f t="shared" si="2"/>
        <v>07:59:00</v>
      </c>
      <c r="H55" s="53" t="str">
        <f t="shared" si="3"/>
        <v>Vào</v>
      </c>
      <c r="I55" s="53" t="str">
        <f t="shared" si="4"/>
        <v>Sáng</v>
      </c>
      <c r="J55" s="53" t="s">
        <v>39</v>
      </c>
      <c r="K55" s="53" t="s">
        <v>102</v>
      </c>
      <c r="L55" s="54">
        <f t="shared" si="5"/>
        <v>43794</v>
      </c>
      <c r="M55" s="54"/>
    </row>
    <row r="56" spans="1:13" s="47" customFormat="1" ht="13.8" x14ac:dyDescent="0.3">
      <c r="A56" s="1" t="s">
        <v>38</v>
      </c>
      <c r="B56" s="3">
        <v>43794.332384259258</v>
      </c>
      <c r="C56" s="2" t="s">
        <v>39</v>
      </c>
      <c r="D56" s="2" t="str">
        <f t="shared" si="0"/>
        <v>NV107</v>
      </c>
      <c r="E56" s="2" t="s">
        <v>0</v>
      </c>
      <c r="F56" s="2" t="str">
        <f t="shared" si="1"/>
        <v>NV10743794VàoSáng</v>
      </c>
      <c r="G56" s="52" t="str">
        <f t="shared" si="2"/>
        <v>07:58:38</v>
      </c>
      <c r="H56" s="53" t="str">
        <f t="shared" si="3"/>
        <v>Vào</v>
      </c>
      <c r="I56" s="53" t="str">
        <f t="shared" si="4"/>
        <v>Sáng</v>
      </c>
      <c r="J56" s="53" t="s">
        <v>39</v>
      </c>
      <c r="K56" s="53" t="s">
        <v>102</v>
      </c>
      <c r="L56" s="54">
        <f t="shared" si="5"/>
        <v>43794</v>
      </c>
      <c r="M56" s="54"/>
    </row>
    <row r="57" spans="1:13" s="47" customFormat="1" ht="13.8" x14ac:dyDescent="0.3">
      <c r="A57" s="1" t="s">
        <v>38</v>
      </c>
      <c r="B57" s="3">
        <v>43792.729675925926</v>
      </c>
      <c r="C57" s="2" t="s">
        <v>39</v>
      </c>
      <c r="D57" s="2" t="str">
        <f t="shared" si="0"/>
        <v>NV107</v>
      </c>
      <c r="E57" s="2" t="s">
        <v>0</v>
      </c>
      <c r="F57" s="2" t="str">
        <f t="shared" si="1"/>
        <v>NV10743792RaChiều</v>
      </c>
      <c r="G57" s="52" t="str">
        <f t="shared" si="2"/>
        <v>17:30:44</v>
      </c>
      <c r="H57" s="53" t="str">
        <f t="shared" si="3"/>
        <v>Ra</v>
      </c>
      <c r="I57" s="53" t="str">
        <f t="shared" si="4"/>
        <v>Chiều</v>
      </c>
      <c r="J57" s="53" t="s">
        <v>37</v>
      </c>
      <c r="K57" s="53" t="s">
        <v>103</v>
      </c>
      <c r="L57" s="54">
        <f t="shared" si="5"/>
        <v>43792</v>
      </c>
      <c r="M57" s="54"/>
    </row>
    <row r="58" spans="1:13" s="47" customFormat="1" ht="13.8" x14ac:dyDescent="0.3">
      <c r="A58" s="1" t="s">
        <v>38</v>
      </c>
      <c r="B58" s="3">
        <v>43792.72923611111</v>
      </c>
      <c r="C58" s="2" t="s">
        <v>39</v>
      </c>
      <c r="D58" s="2" t="str">
        <f t="shared" si="0"/>
        <v>NV107</v>
      </c>
      <c r="E58" s="2" t="s">
        <v>0</v>
      </c>
      <c r="F58" s="2" t="str">
        <f t="shared" si="1"/>
        <v>NV10743792RaChiều</v>
      </c>
      <c r="G58" s="52" t="str">
        <f t="shared" si="2"/>
        <v>17:30:06</v>
      </c>
      <c r="H58" s="53" t="str">
        <f t="shared" si="3"/>
        <v>Ra</v>
      </c>
      <c r="I58" s="53" t="str">
        <f t="shared" si="4"/>
        <v>Chiều</v>
      </c>
      <c r="J58" s="53" t="s">
        <v>37</v>
      </c>
      <c r="K58" s="53" t="s">
        <v>103</v>
      </c>
      <c r="L58" s="54">
        <f t="shared" si="5"/>
        <v>43792</v>
      </c>
      <c r="M58" s="54"/>
    </row>
    <row r="59" spans="1:13" s="47" customFormat="1" ht="13.8" x14ac:dyDescent="0.3">
      <c r="A59" s="1" t="s">
        <v>38</v>
      </c>
      <c r="B59" s="3">
        <v>43792.335381944446</v>
      </c>
      <c r="C59" s="2" t="s">
        <v>39</v>
      </c>
      <c r="D59" s="2" t="str">
        <f t="shared" si="0"/>
        <v>NV107</v>
      </c>
      <c r="E59" s="2" t="s">
        <v>0</v>
      </c>
      <c r="F59" s="2" t="str">
        <f t="shared" si="1"/>
        <v>NV10743792VàoSáng</v>
      </c>
      <c r="G59" s="52" t="str">
        <f t="shared" si="2"/>
        <v>08:02:57</v>
      </c>
      <c r="H59" s="53" t="str">
        <f t="shared" si="3"/>
        <v>Vào</v>
      </c>
      <c r="I59" s="53" t="str">
        <f t="shared" si="4"/>
        <v>Sáng</v>
      </c>
      <c r="J59" s="53" t="s">
        <v>39</v>
      </c>
      <c r="K59" s="53" t="s">
        <v>102</v>
      </c>
      <c r="L59" s="54">
        <f t="shared" si="5"/>
        <v>43792</v>
      </c>
      <c r="M59" s="54"/>
    </row>
    <row r="60" spans="1:13" s="47" customFormat="1" ht="13.8" x14ac:dyDescent="0.3">
      <c r="A60" s="1" t="s">
        <v>38</v>
      </c>
      <c r="B60" s="3">
        <v>43791.730868055551</v>
      </c>
      <c r="C60" s="2" t="s">
        <v>39</v>
      </c>
      <c r="D60" s="2" t="str">
        <f t="shared" si="0"/>
        <v>NV107</v>
      </c>
      <c r="E60" s="2" t="s">
        <v>0</v>
      </c>
      <c r="F60" s="2" t="str">
        <f t="shared" si="1"/>
        <v>NV10743791RaChiều</v>
      </c>
      <c r="G60" s="52" t="str">
        <f t="shared" si="2"/>
        <v>17:32:27</v>
      </c>
      <c r="H60" s="53" t="str">
        <f t="shared" si="3"/>
        <v>Ra</v>
      </c>
      <c r="I60" s="53" t="str">
        <f t="shared" si="4"/>
        <v>Chiều</v>
      </c>
      <c r="J60" s="53" t="s">
        <v>37</v>
      </c>
      <c r="K60" s="53" t="s">
        <v>103</v>
      </c>
      <c r="L60" s="54">
        <f t="shared" si="5"/>
        <v>43791</v>
      </c>
      <c r="M60" s="54"/>
    </row>
    <row r="61" spans="1:13" s="47" customFormat="1" ht="13.8" x14ac:dyDescent="0.3">
      <c r="A61" s="1" t="s">
        <v>38</v>
      </c>
      <c r="B61" s="3">
        <v>43791.333749999998</v>
      </c>
      <c r="C61" s="2" t="s">
        <v>39</v>
      </c>
      <c r="D61" s="2" t="str">
        <f t="shared" si="0"/>
        <v>NV107</v>
      </c>
      <c r="E61" s="2" t="s">
        <v>0</v>
      </c>
      <c r="F61" s="2" t="str">
        <f t="shared" si="1"/>
        <v>NV10743791VàoSáng</v>
      </c>
      <c r="G61" s="52" t="str">
        <f t="shared" si="2"/>
        <v>08:00:36</v>
      </c>
      <c r="H61" s="53" t="str">
        <f t="shared" si="3"/>
        <v>Vào</v>
      </c>
      <c r="I61" s="53" t="str">
        <f t="shared" si="4"/>
        <v>Sáng</v>
      </c>
      <c r="J61" s="53" t="s">
        <v>39</v>
      </c>
      <c r="K61" s="53" t="s">
        <v>102</v>
      </c>
      <c r="L61" s="54">
        <f t="shared" si="5"/>
        <v>43791</v>
      </c>
      <c r="M61" s="54"/>
    </row>
    <row r="62" spans="1:13" s="47" customFormat="1" ht="13.8" x14ac:dyDescent="0.3">
      <c r="A62" s="1" t="s">
        <v>38</v>
      </c>
      <c r="B62" s="3">
        <v>43790.74083333333</v>
      </c>
      <c r="C62" s="2" t="s">
        <v>39</v>
      </c>
      <c r="D62" s="2" t="str">
        <f t="shared" si="0"/>
        <v>NV107</v>
      </c>
      <c r="E62" s="2" t="s">
        <v>0</v>
      </c>
      <c r="F62" s="2" t="str">
        <f t="shared" si="1"/>
        <v>NV10743790RaChiều</v>
      </c>
      <c r="G62" s="52" t="str">
        <f t="shared" si="2"/>
        <v>17:46:48</v>
      </c>
      <c r="H62" s="53" t="str">
        <f t="shared" si="3"/>
        <v>Ra</v>
      </c>
      <c r="I62" s="53" t="str">
        <f t="shared" si="4"/>
        <v>Chiều</v>
      </c>
      <c r="J62" s="53" t="s">
        <v>37</v>
      </c>
      <c r="K62" s="53" t="s">
        <v>103</v>
      </c>
      <c r="L62" s="54">
        <f t="shared" si="5"/>
        <v>43790</v>
      </c>
      <c r="M62" s="54"/>
    </row>
    <row r="63" spans="1:13" s="47" customFormat="1" ht="13.8" x14ac:dyDescent="0.3">
      <c r="A63" s="1" t="s">
        <v>38</v>
      </c>
      <c r="B63" s="3">
        <v>43790.335972222223</v>
      </c>
      <c r="C63" s="2" t="s">
        <v>39</v>
      </c>
      <c r="D63" s="2" t="str">
        <f t="shared" si="0"/>
        <v>NV107</v>
      </c>
      <c r="E63" s="2" t="s">
        <v>0</v>
      </c>
      <c r="F63" s="2" t="str">
        <f t="shared" si="1"/>
        <v>NV10743790VàoSáng</v>
      </c>
      <c r="G63" s="52" t="str">
        <f t="shared" si="2"/>
        <v>08:03:48</v>
      </c>
      <c r="H63" s="53" t="str">
        <f t="shared" si="3"/>
        <v>Vào</v>
      </c>
      <c r="I63" s="53" t="str">
        <f t="shared" si="4"/>
        <v>Sáng</v>
      </c>
      <c r="J63" s="53" t="s">
        <v>39</v>
      </c>
      <c r="K63" s="53" t="s">
        <v>102</v>
      </c>
      <c r="L63" s="54">
        <f t="shared" si="5"/>
        <v>43790</v>
      </c>
      <c r="M63" s="54"/>
    </row>
    <row r="64" spans="1:13" s="47" customFormat="1" ht="13.8" x14ac:dyDescent="0.3">
      <c r="A64" s="1" t="s">
        <v>38</v>
      </c>
      <c r="B64" s="3">
        <v>43789.713993055557</v>
      </c>
      <c r="C64" s="2" t="s">
        <v>39</v>
      </c>
      <c r="D64" s="2" t="str">
        <f t="shared" si="0"/>
        <v>NV107</v>
      </c>
      <c r="E64" s="2" t="s">
        <v>0</v>
      </c>
      <c r="F64" s="2" t="str">
        <f t="shared" si="1"/>
        <v>NV10743789RaChiều</v>
      </c>
      <c r="G64" s="52" t="str">
        <f t="shared" si="2"/>
        <v>17:08:09</v>
      </c>
      <c r="H64" s="53" t="str">
        <f t="shared" si="3"/>
        <v>Ra</v>
      </c>
      <c r="I64" s="53" t="str">
        <f t="shared" si="4"/>
        <v>Chiều</v>
      </c>
      <c r="J64" s="53" t="s">
        <v>37</v>
      </c>
      <c r="K64" s="53" t="s">
        <v>103</v>
      </c>
      <c r="L64" s="54">
        <f t="shared" si="5"/>
        <v>43789</v>
      </c>
      <c r="M64" s="54"/>
    </row>
    <row r="65" spans="1:13" s="47" customFormat="1" ht="13.8" x14ac:dyDescent="0.3">
      <c r="A65" s="1" t="s">
        <v>38</v>
      </c>
      <c r="B65" s="3">
        <v>43789.340509259258</v>
      </c>
      <c r="C65" s="2" t="s">
        <v>39</v>
      </c>
      <c r="D65" s="2" t="str">
        <f t="shared" si="0"/>
        <v>NV107</v>
      </c>
      <c r="E65" s="2" t="s">
        <v>0</v>
      </c>
      <c r="F65" s="2" t="str">
        <f t="shared" si="1"/>
        <v>NV10743789VàoSáng</v>
      </c>
      <c r="G65" s="52" t="str">
        <f t="shared" si="2"/>
        <v>08:10:20</v>
      </c>
      <c r="H65" s="53" t="str">
        <f t="shared" si="3"/>
        <v>Vào</v>
      </c>
      <c r="I65" s="53" t="str">
        <f t="shared" si="4"/>
        <v>Sáng</v>
      </c>
      <c r="J65" s="53" t="s">
        <v>39</v>
      </c>
      <c r="K65" s="53" t="s">
        <v>102</v>
      </c>
      <c r="L65" s="54">
        <f t="shared" si="5"/>
        <v>43789</v>
      </c>
      <c r="M65" s="54"/>
    </row>
    <row r="66" spans="1:13" s="47" customFormat="1" ht="13.8" x14ac:dyDescent="0.3">
      <c r="A66" s="1" t="s">
        <v>38</v>
      </c>
      <c r="B66" s="3">
        <v>43788.327372685184</v>
      </c>
      <c r="C66" s="2" t="s">
        <v>39</v>
      </c>
      <c r="D66" s="2" t="str">
        <f t="shared" si="0"/>
        <v>NV107</v>
      </c>
      <c r="E66" s="2" t="s">
        <v>0</v>
      </c>
      <c r="F66" s="2" t="str">
        <f t="shared" si="1"/>
        <v>NV10743788VàoSáng</v>
      </c>
      <c r="G66" s="52" t="str">
        <f t="shared" si="2"/>
        <v>07:51:25</v>
      </c>
      <c r="H66" s="53" t="str">
        <f t="shared" si="3"/>
        <v>Vào</v>
      </c>
      <c r="I66" s="53" t="str">
        <f t="shared" si="4"/>
        <v>Sáng</v>
      </c>
      <c r="J66" s="53" t="s">
        <v>39</v>
      </c>
      <c r="K66" s="53" t="s">
        <v>102</v>
      </c>
      <c r="L66" s="54">
        <f t="shared" si="5"/>
        <v>43788</v>
      </c>
      <c r="M66" s="54"/>
    </row>
    <row r="67" spans="1:13" s="47" customFormat="1" ht="13.8" x14ac:dyDescent="0.3">
      <c r="A67" s="1" t="s">
        <v>38</v>
      </c>
      <c r="B67" s="3">
        <v>43788.326597222222</v>
      </c>
      <c r="C67" s="2" t="s">
        <v>39</v>
      </c>
      <c r="D67" s="2" t="str">
        <f t="shared" si="0"/>
        <v>NV107</v>
      </c>
      <c r="E67" s="2" t="s">
        <v>0</v>
      </c>
      <c r="F67" s="2" t="str">
        <f t="shared" si="1"/>
        <v>NV10743788VàoSáng</v>
      </c>
      <c r="G67" s="52" t="str">
        <f t="shared" si="2"/>
        <v>07:50:18</v>
      </c>
      <c r="H67" s="53" t="str">
        <f t="shared" si="3"/>
        <v>Vào</v>
      </c>
      <c r="I67" s="53" t="str">
        <f t="shared" si="4"/>
        <v>Sáng</v>
      </c>
      <c r="J67" s="53" t="s">
        <v>39</v>
      </c>
      <c r="K67" s="53" t="s">
        <v>102</v>
      </c>
      <c r="L67" s="54">
        <f t="shared" si="5"/>
        <v>43788</v>
      </c>
      <c r="M67" s="54"/>
    </row>
    <row r="68" spans="1:13" s="47" customFormat="1" ht="13.8" x14ac:dyDescent="0.3">
      <c r="A68" s="1" t="s">
        <v>38</v>
      </c>
      <c r="B68" s="3">
        <v>43787.333703703705</v>
      </c>
      <c r="C68" s="2" t="s">
        <v>39</v>
      </c>
      <c r="D68" s="2" t="str">
        <f t="shared" si="0"/>
        <v>NV107</v>
      </c>
      <c r="E68" s="2" t="s">
        <v>0</v>
      </c>
      <c r="F68" s="2" t="str">
        <f t="shared" si="1"/>
        <v>NV10743787VàoSáng</v>
      </c>
      <c r="G68" s="52" t="str">
        <f t="shared" si="2"/>
        <v>08:00:32</v>
      </c>
      <c r="H68" s="53" t="str">
        <f t="shared" si="3"/>
        <v>Vào</v>
      </c>
      <c r="I68" s="53" t="str">
        <f t="shared" si="4"/>
        <v>Sáng</v>
      </c>
      <c r="J68" s="53" t="s">
        <v>39</v>
      </c>
      <c r="K68" s="53" t="s">
        <v>102</v>
      </c>
      <c r="L68" s="54">
        <f t="shared" si="5"/>
        <v>43787</v>
      </c>
      <c r="M68" s="54"/>
    </row>
    <row r="69" spans="1:13" s="47" customFormat="1" ht="13.8" x14ac:dyDescent="0.3">
      <c r="A69" s="1" t="s">
        <v>38</v>
      </c>
      <c r="B69" s="3">
        <v>43785.740694444445</v>
      </c>
      <c r="C69" s="2" t="s">
        <v>39</v>
      </c>
      <c r="D69" s="2" t="str">
        <f t="shared" si="0"/>
        <v>NV107</v>
      </c>
      <c r="E69" s="2" t="s">
        <v>0</v>
      </c>
      <c r="F69" s="2" t="str">
        <f t="shared" si="1"/>
        <v>NV10743785RaChiều</v>
      </c>
      <c r="G69" s="52" t="str">
        <f t="shared" si="2"/>
        <v>17:46:36</v>
      </c>
      <c r="H69" s="53" t="str">
        <f t="shared" si="3"/>
        <v>Ra</v>
      </c>
      <c r="I69" s="53" t="str">
        <f t="shared" si="4"/>
        <v>Chiều</v>
      </c>
      <c r="J69" s="53" t="s">
        <v>37</v>
      </c>
      <c r="K69" s="53" t="s">
        <v>103</v>
      </c>
      <c r="L69" s="54">
        <f t="shared" si="5"/>
        <v>43785</v>
      </c>
      <c r="M69" s="54"/>
    </row>
    <row r="70" spans="1:13" s="47" customFormat="1" ht="13.8" x14ac:dyDescent="0.3">
      <c r="A70" s="1" t="s">
        <v>38</v>
      </c>
      <c r="B70" s="3">
        <v>43785.341458333329</v>
      </c>
      <c r="C70" s="2" t="s">
        <v>39</v>
      </c>
      <c r="D70" s="2" t="str">
        <f t="shared" ref="D70:D133" si="6">"NV"&amp;A70</f>
        <v>NV107</v>
      </c>
      <c r="E70" s="2" t="s">
        <v>0</v>
      </c>
      <c r="F70" s="2" t="str">
        <f t="shared" ref="F70:F133" si="7">D70&amp;L70&amp;J70&amp;K70</f>
        <v>NV10743785VàoSáng</v>
      </c>
      <c r="G70" s="52" t="str">
        <f t="shared" si="2"/>
        <v>08:11:42</v>
      </c>
      <c r="H70" s="53" t="str">
        <f t="shared" si="3"/>
        <v>Vào</v>
      </c>
      <c r="I70" s="53" t="str">
        <f t="shared" si="4"/>
        <v>Sáng</v>
      </c>
      <c r="J70" s="53" t="s">
        <v>39</v>
      </c>
      <c r="K70" s="53" t="s">
        <v>102</v>
      </c>
      <c r="L70" s="54">
        <f t="shared" si="5"/>
        <v>43785</v>
      </c>
      <c r="M70" s="54"/>
    </row>
    <row r="71" spans="1:13" s="47" customFormat="1" ht="13.8" x14ac:dyDescent="0.3">
      <c r="A71" s="1" t="s">
        <v>38</v>
      </c>
      <c r="B71" s="3">
        <v>43784.74622685185</v>
      </c>
      <c r="C71" s="2" t="s">
        <v>39</v>
      </c>
      <c r="D71" s="2" t="str">
        <f t="shared" si="6"/>
        <v>NV107</v>
      </c>
      <c r="E71" s="2" t="s">
        <v>0</v>
      </c>
      <c r="F71" s="2" t="str">
        <f t="shared" si="7"/>
        <v>NV10743784RaChiều</v>
      </c>
      <c r="G71" s="52" t="str">
        <f t="shared" ref="G71:G134" si="8">TEXT(TIME(HOUR(B71),MINUTE(B71),SECOND(B71)),"hh:mm:ss")</f>
        <v>17:54:34</v>
      </c>
      <c r="H71" s="53" t="str">
        <f t="shared" ref="H71:H134" si="9">IF(AND(I71="Sáng",G71&lt;"11:00:00",G71&gt;="07:00:00"),"Vào",
IF(AND(I71="Sáng",G71&lt;"13:00:00",G71&gt;="11:00:00"),"Ra",
IF(AND(I71="Chiều",G71&lt;"16:00:00",G71&gt;="13:00:00"),"Vào",
IF(AND(I71="Chiều",G71&lt;"20:00:00",G71&gt;="16:00:00"),"Ra"))))</f>
        <v>Ra</v>
      </c>
      <c r="I71" s="53" t="str">
        <f t="shared" ref="I71:I134" si="10">IF(G71&lt;="12:30:00","Sáng","Chiều")</f>
        <v>Chiều</v>
      </c>
      <c r="J71" s="53" t="s">
        <v>37</v>
      </c>
      <c r="K71" s="53" t="s">
        <v>103</v>
      </c>
      <c r="L71" s="54">
        <f t="shared" ref="L71:L134" si="11">DATE(YEAR(B71),MONTH(B71),DAY(B71))</f>
        <v>43784</v>
      </c>
      <c r="M71" s="54"/>
    </row>
    <row r="72" spans="1:13" s="47" customFormat="1" ht="13.8" x14ac:dyDescent="0.3">
      <c r="A72" s="1" t="s">
        <v>38</v>
      </c>
      <c r="B72" s="3">
        <v>43784.327175925922</v>
      </c>
      <c r="C72" s="2" t="s">
        <v>39</v>
      </c>
      <c r="D72" s="2" t="str">
        <f t="shared" si="6"/>
        <v>NV107</v>
      </c>
      <c r="E72" s="2" t="s">
        <v>0</v>
      </c>
      <c r="F72" s="2" t="str">
        <f t="shared" si="7"/>
        <v>NV10743784VàoSáng</v>
      </c>
      <c r="G72" s="52" t="str">
        <f t="shared" si="8"/>
        <v>07:51:08</v>
      </c>
      <c r="H72" s="53" t="str">
        <f t="shared" si="9"/>
        <v>Vào</v>
      </c>
      <c r="I72" s="53" t="str">
        <f t="shared" si="10"/>
        <v>Sáng</v>
      </c>
      <c r="J72" s="53" t="s">
        <v>39</v>
      </c>
      <c r="K72" s="53" t="s">
        <v>102</v>
      </c>
      <c r="L72" s="54">
        <f t="shared" si="11"/>
        <v>43784</v>
      </c>
      <c r="M72" s="54"/>
    </row>
    <row r="73" spans="1:13" s="47" customFormat="1" ht="13.8" x14ac:dyDescent="0.3">
      <c r="A73" s="1" t="s">
        <v>38</v>
      </c>
      <c r="B73" s="3">
        <v>43783.326527777775</v>
      </c>
      <c r="C73" s="2" t="s">
        <v>39</v>
      </c>
      <c r="D73" s="2" t="str">
        <f t="shared" si="6"/>
        <v>NV107</v>
      </c>
      <c r="E73" s="2" t="s">
        <v>0</v>
      </c>
      <c r="F73" s="2" t="str">
        <f t="shared" si="7"/>
        <v>NV10743783VàoSáng</v>
      </c>
      <c r="G73" s="52" t="str">
        <f t="shared" si="8"/>
        <v>07:50:12</v>
      </c>
      <c r="H73" s="53" t="str">
        <f t="shared" si="9"/>
        <v>Vào</v>
      </c>
      <c r="I73" s="53" t="str">
        <f t="shared" si="10"/>
        <v>Sáng</v>
      </c>
      <c r="J73" s="53" t="s">
        <v>39</v>
      </c>
      <c r="K73" s="53" t="s">
        <v>102</v>
      </c>
      <c r="L73" s="54">
        <f t="shared" si="11"/>
        <v>43783</v>
      </c>
      <c r="M73" s="54"/>
    </row>
    <row r="74" spans="1:13" s="47" customFormat="1" ht="13.8" x14ac:dyDescent="0.3">
      <c r="A74" s="1" t="s">
        <v>38</v>
      </c>
      <c r="B74" s="3">
        <v>43782.730034722219</v>
      </c>
      <c r="C74" s="2" t="s">
        <v>39</v>
      </c>
      <c r="D74" s="2" t="str">
        <f t="shared" si="6"/>
        <v>NV107</v>
      </c>
      <c r="E74" s="2" t="s">
        <v>0</v>
      </c>
      <c r="F74" s="2" t="str">
        <f t="shared" si="7"/>
        <v>NV10743782RaChiều</v>
      </c>
      <c r="G74" s="52" t="str">
        <f t="shared" si="8"/>
        <v>17:31:15</v>
      </c>
      <c r="H74" s="53" t="str">
        <f t="shared" si="9"/>
        <v>Ra</v>
      </c>
      <c r="I74" s="53" t="str">
        <f t="shared" si="10"/>
        <v>Chiều</v>
      </c>
      <c r="J74" s="53" t="s">
        <v>37</v>
      </c>
      <c r="K74" s="53" t="s">
        <v>103</v>
      </c>
      <c r="L74" s="54">
        <f t="shared" si="11"/>
        <v>43782</v>
      </c>
      <c r="M74" s="54"/>
    </row>
    <row r="75" spans="1:13" s="47" customFormat="1" ht="13.8" x14ac:dyDescent="0.3">
      <c r="A75" s="1" t="s">
        <v>38</v>
      </c>
      <c r="B75" s="3">
        <v>43782.335729166662</v>
      </c>
      <c r="C75" s="2" t="s">
        <v>39</v>
      </c>
      <c r="D75" s="2" t="str">
        <f t="shared" si="6"/>
        <v>NV107</v>
      </c>
      <c r="E75" s="2" t="s">
        <v>0</v>
      </c>
      <c r="F75" s="2" t="str">
        <f t="shared" si="7"/>
        <v>NV10743782VàoSáng</v>
      </c>
      <c r="G75" s="52" t="str">
        <f t="shared" si="8"/>
        <v>08:03:27</v>
      </c>
      <c r="H75" s="53" t="str">
        <f t="shared" si="9"/>
        <v>Vào</v>
      </c>
      <c r="I75" s="53" t="str">
        <f t="shared" si="10"/>
        <v>Sáng</v>
      </c>
      <c r="J75" s="53" t="s">
        <v>39</v>
      </c>
      <c r="K75" s="53" t="s">
        <v>102</v>
      </c>
      <c r="L75" s="54">
        <f t="shared" si="11"/>
        <v>43782</v>
      </c>
      <c r="M75" s="54"/>
    </row>
    <row r="76" spans="1:13" s="47" customFormat="1" ht="13.8" x14ac:dyDescent="0.3">
      <c r="A76" s="1" t="s">
        <v>38</v>
      </c>
      <c r="B76" s="3">
        <v>43781.735104166662</v>
      </c>
      <c r="C76" s="2" t="s">
        <v>39</v>
      </c>
      <c r="D76" s="2" t="str">
        <f t="shared" si="6"/>
        <v>NV107</v>
      </c>
      <c r="E76" s="2" t="s">
        <v>0</v>
      </c>
      <c r="F76" s="2" t="str">
        <f t="shared" si="7"/>
        <v>NV10743781RaChiều</v>
      </c>
      <c r="G76" s="52" t="str">
        <f t="shared" si="8"/>
        <v>17:38:33</v>
      </c>
      <c r="H76" s="53" t="str">
        <f t="shared" si="9"/>
        <v>Ra</v>
      </c>
      <c r="I76" s="53" t="str">
        <f t="shared" si="10"/>
        <v>Chiều</v>
      </c>
      <c r="J76" s="53" t="s">
        <v>37</v>
      </c>
      <c r="K76" s="53" t="s">
        <v>103</v>
      </c>
      <c r="L76" s="54">
        <f t="shared" si="11"/>
        <v>43781</v>
      </c>
      <c r="M76" s="54"/>
    </row>
    <row r="77" spans="1:13" s="47" customFormat="1" ht="13.8" x14ac:dyDescent="0.3">
      <c r="A77" s="1" t="s">
        <v>38</v>
      </c>
      <c r="B77" s="3">
        <v>43781.328692129631</v>
      </c>
      <c r="C77" s="2" t="s">
        <v>39</v>
      </c>
      <c r="D77" s="2" t="str">
        <f t="shared" si="6"/>
        <v>NV107</v>
      </c>
      <c r="E77" s="2" t="s">
        <v>0</v>
      </c>
      <c r="F77" s="2" t="str">
        <f t="shared" si="7"/>
        <v>NV10743781VàoSáng</v>
      </c>
      <c r="G77" s="52" t="str">
        <f t="shared" si="8"/>
        <v>07:53:19</v>
      </c>
      <c r="H77" s="53" t="str">
        <f t="shared" si="9"/>
        <v>Vào</v>
      </c>
      <c r="I77" s="53" t="str">
        <f t="shared" si="10"/>
        <v>Sáng</v>
      </c>
      <c r="J77" s="53" t="s">
        <v>39</v>
      </c>
      <c r="K77" s="53" t="s">
        <v>102</v>
      </c>
      <c r="L77" s="54">
        <f t="shared" si="11"/>
        <v>43781</v>
      </c>
      <c r="M77" s="54"/>
    </row>
    <row r="78" spans="1:13" s="47" customFormat="1" ht="13.8" x14ac:dyDescent="0.3">
      <c r="A78" s="1" t="s">
        <v>38</v>
      </c>
      <c r="B78" s="3">
        <v>43780.729525462964</v>
      </c>
      <c r="C78" s="2" t="s">
        <v>39</v>
      </c>
      <c r="D78" s="2" t="str">
        <f t="shared" si="6"/>
        <v>NV107</v>
      </c>
      <c r="E78" s="2" t="s">
        <v>0</v>
      </c>
      <c r="F78" s="2" t="str">
        <f t="shared" si="7"/>
        <v>NV10743780RaChiều</v>
      </c>
      <c r="G78" s="52" t="str">
        <f t="shared" si="8"/>
        <v>17:30:31</v>
      </c>
      <c r="H78" s="53" t="str">
        <f t="shared" si="9"/>
        <v>Ra</v>
      </c>
      <c r="I78" s="53" t="str">
        <f t="shared" si="10"/>
        <v>Chiều</v>
      </c>
      <c r="J78" s="53" t="s">
        <v>37</v>
      </c>
      <c r="K78" s="53" t="s">
        <v>103</v>
      </c>
      <c r="L78" s="54">
        <f t="shared" si="11"/>
        <v>43780</v>
      </c>
      <c r="M78" s="54"/>
    </row>
    <row r="79" spans="1:13" s="47" customFormat="1" ht="13.8" x14ac:dyDescent="0.3">
      <c r="A79" s="1" t="s">
        <v>38</v>
      </c>
      <c r="B79" s="3">
        <v>43780.333622685182</v>
      </c>
      <c r="C79" s="2" t="s">
        <v>39</v>
      </c>
      <c r="D79" s="2" t="str">
        <f t="shared" si="6"/>
        <v>NV107</v>
      </c>
      <c r="E79" s="2" t="s">
        <v>0</v>
      </c>
      <c r="F79" s="2" t="str">
        <f t="shared" si="7"/>
        <v>NV10743780VàoSáng</v>
      </c>
      <c r="G79" s="52" t="str">
        <f t="shared" si="8"/>
        <v>08:00:25</v>
      </c>
      <c r="H79" s="53" t="str">
        <f t="shared" si="9"/>
        <v>Vào</v>
      </c>
      <c r="I79" s="53" t="str">
        <f t="shared" si="10"/>
        <v>Sáng</v>
      </c>
      <c r="J79" s="53" t="s">
        <v>39</v>
      </c>
      <c r="K79" s="53" t="s">
        <v>102</v>
      </c>
      <c r="L79" s="54">
        <f t="shared" si="11"/>
        <v>43780</v>
      </c>
      <c r="M79" s="54"/>
    </row>
    <row r="80" spans="1:13" s="47" customFormat="1" ht="13.8" x14ac:dyDescent="0.3">
      <c r="A80" s="1" t="s">
        <v>38</v>
      </c>
      <c r="B80" s="3">
        <v>43778.332789351851</v>
      </c>
      <c r="C80" s="2" t="s">
        <v>39</v>
      </c>
      <c r="D80" s="2" t="str">
        <f t="shared" si="6"/>
        <v>NV107</v>
      </c>
      <c r="E80" s="2" t="s">
        <v>0</v>
      </c>
      <c r="F80" s="2" t="str">
        <f t="shared" si="7"/>
        <v>NV10743778VàoSáng</v>
      </c>
      <c r="G80" s="52" t="str">
        <f t="shared" si="8"/>
        <v>07:59:13</v>
      </c>
      <c r="H80" s="53" t="str">
        <f t="shared" si="9"/>
        <v>Vào</v>
      </c>
      <c r="I80" s="53" t="str">
        <f t="shared" si="10"/>
        <v>Sáng</v>
      </c>
      <c r="J80" s="53" t="s">
        <v>39</v>
      </c>
      <c r="K80" s="53" t="s">
        <v>102</v>
      </c>
      <c r="L80" s="54">
        <f t="shared" si="11"/>
        <v>43778</v>
      </c>
      <c r="M80" s="54"/>
    </row>
    <row r="81" spans="1:13" s="47" customFormat="1" ht="13.8" x14ac:dyDescent="0.3">
      <c r="A81" s="1" t="s">
        <v>38</v>
      </c>
      <c r="B81" s="3">
        <v>43777.731886574074</v>
      </c>
      <c r="C81" s="2" t="s">
        <v>39</v>
      </c>
      <c r="D81" s="2" t="str">
        <f t="shared" si="6"/>
        <v>NV107</v>
      </c>
      <c r="E81" s="2" t="s">
        <v>0</v>
      </c>
      <c r="F81" s="2" t="str">
        <f t="shared" si="7"/>
        <v>NV10743777RaChiều</v>
      </c>
      <c r="G81" s="52" t="str">
        <f t="shared" si="8"/>
        <v>17:33:55</v>
      </c>
      <c r="H81" s="53" t="str">
        <f t="shared" si="9"/>
        <v>Ra</v>
      </c>
      <c r="I81" s="53" t="str">
        <f t="shared" si="10"/>
        <v>Chiều</v>
      </c>
      <c r="J81" s="53" t="s">
        <v>37</v>
      </c>
      <c r="K81" s="53" t="s">
        <v>103</v>
      </c>
      <c r="L81" s="54">
        <f t="shared" si="11"/>
        <v>43777</v>
      </c>
      <c r="M81" s="54"/>
    </row>
    <row r="82" spans="1:13" s="47" customFormat="1" ht="13.8" x14ac:dyDescent="0.3">
      <c r="A82" s="1" t="s">
        <v>38</v>
      </c>
      <c r="B82" s="3">
        <v>43777.32739583333</v>
      </c>
      <c r="C82" s="2" t="s">
        <v>39</v>
      </c>
      <c r="D82" s="2" t="str">
        <f t="shared" si="6"/>
        <v>NV107</v>
      </c>
      <c r="E82" s="2" t="s">
        <v>0</v>
      </c>
      <c r="F82" s="2" t="str">
        <f t="shared" si="7"/>
        <v>NV10743777VàoSáng</v>
      </c>
      <c r="G82" s="52" t="str">
        <f t="shared" si="8"/>
        <v>07:51:27</v>
      </c>
      <c r="H82" s="53" t="str">
        <f t="shared" si="9"/>
        <v>Vào</v>
      </c>
      <c r="I82" s="53" t="str">
        <f t="shared" si="10"/>
        <v>Sáng</v>
      </c>
      <c r="J82" s="53" t="s">
        <v>39</v>
      </c>
      <c r="K82" s="53" t="s">
        <v>102</v>
      </c>
      <c r="L82" s="54">
        <f t="shared" si="11"/>
        <v>43777</v>
      </c>
      <c r="M82" s="54"/>
    </row>
    <row r="83" spans="1:13" s="47" customFormat="1" ht="13.8" x14ac:dyDescent="0.3">
      <c r="A83" s="1" t="s">
        <v>38</v>
      </c>
      <c r="B83" s="3">
        <v>43776.731770833328</v>
      </c>
      <c r="C83" s="2" t="s">
        <v>39</v>
      </c>
      <c r="D83" s="2" t="str">
        <f t="shared" si="6"/>
        <v>NV107</v>
      </c>
      <c r="E83" s="2" t="s">
        <v>0</v>
      </c>
      <c r="F83" s="2" t="str">
        <f t="shared" si="7"/>
        <v>NV10743776RaChiều</v>
      </c>
      <c r="G83" s="52" t="str">
        <f t="shared" si="8"/>
        <v>17:33:45</v>
      </c>
      <c r="H83" s="53" t="str">
        <f t="shared" si="9"/>
        <v>Ra</v>
      </c>
      <c r="I83" s="53" t="str">
        <f t="shared" si="10"/>
        <v>Chiều</v>
      </c>
      <c r="J83" s="53" t="s">
        <v>37</v>
      </c>
      <c r="K83" s="53" t="s">
        <v>103</v>
      </c>
      <c r="L83" s="54">
        <f t="shared" si="11"/>
        <v>43776</v>
      </c>
      <c r="M83" s="54"/>
    </row>
    <row r="84" spans="1:13" s="47" customFormat="1" ht="13.8" x14ac:dyDescent="0.3">
      <c r="A84" s="1" t="s">
        <v>38</v>
      </c>
      <c r="B84" s="3">
        <v>43776.326226851852</v>
      </c>
      <c r="C84" s="2" t="s">
        <v>39</v>
      </c>
      <c r="D84" s="2" t="str">
        <f t="shared" si="6"/>
        <v>NV107</v>
      </c>
      <c r="E84" s="2" t="s">
        <v>0</v>
      </c>
      <c r="F84" s="2" t="str">
        <f t="shared" si="7"/>
        <v>NV10743776VàoSáng</v>
      </c>
      <c r="G84" s="52" t="str">
        <f t="shared" si="8"/>
        <v>07:49:46</v>
      </c>
      <c r="H84" s="53" t="str">
        <f t="shared" si="9"/>
        <v>Vào</v>
      </c>
      <c r="I84" s="53" t="str">
        <f t="shared" si="10"/>
        <v>Sáng</v>
      </c>
      <c r="J84" s="53" t="s">
        <v>39</v>
      </c>
      <c r="K84" s="53" t="s">
        <v>102</v>
      </c>
      <c r="L84" s="54">
        <f t="shared" si="11"/>
        <v>43776</v>
      </c>
      <c r="M84" s="54"/>
    </row>
    <row r="85" spans="1:13" s="47" customFormat="1" ht="13.8" x14ac:dyDescent="0.3">
      <c r="A85" s="1" t="s">
        <v>38</v>
      </c>
      <c r="B85" s="3">
        <v>43775.732233796298</v>
      </c>
      <c r="C85" s="2" t="s">
        <v>39</v>
      </c>
      <c r="D85" s="2" t="str">
        <f t="shared" si="6"/>
        <v>NV107</v>
      </c>
      <c r="E85" s="2" t="s">
        <v>0</v>
      </c>
      <c r="F85" s="2" t="str">
        <f t="shared" si="7"/>
        <v>NV10743775RaChiều</v>
      </c>
      <c r="G85" s="52" t="str">
        <f t="shared" si="8"/>
        <v>17:34:25</v>
      </c>
      <c r="H85" s="53" t="str">
        <f t="shared" si="9"/>
        <v>Ra</v>
      </c>
      <c r="I85" s="53" t="str">
        <f t="shared" si="10"/>
        <v>Chiều</v>
      </c>
      <c r="J85" s="53" t="s">
        <v>37</v>
      </c>
      <c r="K85" s="53" t="s">
        <v>103</v>
      </c>
      <c r="L85" s="54">
        <f t="shared" si="11"/>
        <v>43775</v>
      </c>
      <c r="M85" s="54"/>
    </row>
    <row r="86" spans="1:13" s="47" customFormat="1" ht="13.8" x14ac:dyDescent="0.3">
      <c r="A86" s="1" t="s">
        <v>38</v>
      </c>
      <c r="B86" s="3">
        <v>43775.345902777779</v>
      </c>
      <c r="C86" s="2" t="s">
        <v>39</v>
      </c>
      <c r="D86" s="2" t="str">
        <f t="shared" si="6"/>
        <v>NV107</v>
      </c>
      <c r="E86" s="2" t="s">
        <v>0</v>
      </c>
      <c r="F86" s="2" t="str">
        <f t="shared" si="7"/>
        <v>NV10743775VàoSáng</v>
      </c>
      <c r="G86" s="52" t="str">
        <f t="shared" si="8"/>
        <v>08:18:06</v>
      </c>
      <c r="H86" s="53" t="str">
        <f t="shared" si="9"/>
        <v>Vào</v>
      </c>
      <c r="I86" s="53" t="str">
        <f t="shared" si="10"/>
        <v>Sáng</v>
      </c>
      <c r="J86" s="53" t="s">
        <v>39</v>
      </c>
      <c r="K86" s="53" t="s">
        <v>102</v>
      </c>
      <c r="L86" s="54">
        <f t="shared" si="11"/>
        <v>43775</v>
      </c>
      <c r="M86" s="54"/>
    </row>
    <row r="87" spans="1:13" s="47" customFormat="1" ht="13.8" x14ac:dyDescent="0.3">
      <c r="A87" s="1" t="s">
        <v>38</v>
      </c>
      <c r="B87" s="3">
        <v>43774.730763888889</v>
      </c>
      <c r="C87" s="2" t="s">
        <v>39</v>
      </c>
      <c r="D87" s="2" t="str">
        <f t="shared" si="6"/>
        <v>NV107</v>
      </c>
      <c r="E87" s="2" t="s">
        <v>0</v>
      </c>
      <c r="F87" s="2" t="str">
        <f t="shared" si="7"/>
        <v>NV10743774RaChiều</v>
      </c>
      <c r="G87" s="52" t="str">
        <f t="shared" si="8"/>
        <v>17:32:18</v>
      </c>
      <c r="H87" s="53" t="str">
        <f t="shared" si="9"/>
        <v>Ra</v>
      </c>
      <c r="I87" s="53" t="str">
        <f t="shared" si="10"/>
        <v>Chiều</v>
      </c>
      <c r="J87" s="53" t="s">
        <v>37</v>
      </c>
      <c r="K87" s="53" t="s">
        <v>103</v>
      </c>
      <c r="L87" s="54">
        <f t="shared" si="11"/>
        <v>43774</v>
      </c>
      <c r="M87" s="54"/>
    </row>
    <row r="88" spans="1:13" s="47" customFormat="1" ht="13.8" x14ac:dyDescent="0.3">
      <c r="A88" s="1" t="s">
        <v>38</v>
      </c>
      <c r="B88" s="3">
        <v>43774.33012731481</v>
      </c>
      <c r="C88" s="2" t="s">
        <v>39</v>
      </c>
      <c r="D88" s="2" t="str">
        <f t="shared" si="6"/>
        <v>NV107</v>
      </c>
      <c r="E88" s="2" t="s">
        <v>0</v>
      </c>
      <c r="F88" s="2" t="str">
        <f t="shared" si="7"/>
        <v>NV10743774VàoSáng</v>
      </c>
      <c r="G88" s="52" t="str">
        <f t="shared" si="8"/>
        <v>07:55:23</v>
      </c>
      <c r="H88" s="53" t="str">
        <f t="shared" si="9"/>
        <v>Vào</v>
      </c>
      <c r="I88" s="53" t="str">
        <f t="shared" si="10"/>
        <v>Sáng</v>
      </c>
      <c r="J88" s="53" t="s">
        <v>39</v>
      </c>
      <c r="K88" s="53" t="s">
        <v>102</v>
      </c>
      <c r="L88" s="54">
        <f t="shared" si="11"/>
        <v>43774</v>
      </c>
      <c r="M88" s="54"/>
    </row>
    <row r="89" spans="1:13" s="47" customFormat="1" ht="13.8" x14ac:dyDescent="0.3">
      <c r="A89" s="1" t="s">
        <v>38</v>
      </c>
      <c r="B89" s="3">
        <v>43773.730868055551</v>
      </c>
      <c r="C89" s="2" t="s">
        <v>39</v>
      </c>
      <c r="D89" s="2" t="str">
        <f t="shared" si="6"/>
        <v>NV107</v>
      </c>
      <c r="E89" s="2" t="s">
        <v>0</v>
      </c>
      <c r="F89" s="2" t="str">
        <f t="shared" si="7"/>
        <v>NV10743773RaChiều</v>
      </c>
      <c r="G89" s="52" t="str">
        <f t="shared" si="8"/>
        <v>17:32:27</v>
      </c>
      <c r="H89" s="53" t="str">
        <f t="shared" si="9"/>
        <v>Ra</v>
      </c>
      <c r="I89" s="53" t="str">
        <f t="shared" si="10"/>
        <v>Chiều</v>
      </c>
      <c r="J89" s="53" t="s">
        <v>37</v>
      </c>
      <c r="K89" s="53" t="s">
        <v>103</v>
      </c>
      <c r="L89" s="54">
        <f t="shared" si="11"/>
        <v>43773</v>
      </c>
      <c r="M89" s="54"/>
    </row>
    <row r="90" spans="1:13" s="47" customFormat="1" ht="13.8" x14ac:dyDescent="0.3">
      <c r="A90" s="1" t="s">
        <v>38</v>
      </c>
      <c r="B90" s="3">
        <v>43773.348402777774</v>
      </c>
      <c r="C90" s="2" t="s">
        <v>39</v>
      </c>
      <c r="D90" s="2" t="str">
        <f t="shared" si="6"/>
        <v>NV107</v>
      </c>
      <c r="E90" s="2" t="s">
        <v>0</v>
      </c>
      <c r="F90" s="2" t="str">
        <f t="shared" si="7"/>
        <v>NV10743773VàoSáng</v>
      </c>
      <c r="G90" s="52" t="str">
        <f t="shared" si="8"/>
        <v>08:21:42</v>
      </c>
      <c r="H90" s="53" t="str">
        <f t="shared" si="9"/>
        <v>Vào</v>
      </c>
      <c r="I90" s="53" t="str">
        <f t="shared" si="10"/>
        <v>Sáng</v>
      </c>
      <c r="J90" s="53" t="s">
        <v>39</v>
      </c>
      <c r="K90" s="53" t="s">
        <v>102</v>
      </c>
      <c r="L90" s="54">
        <f t="shared" si="11"/>
        <v>43773</v>
      </c>
      <c r="M90" s="54"/>
    </row>
    <row r="91" spans="1:13" s="47" customFormat="1" ht="13.8" x14ac:dyDescent="0.3">
      <c r="A91" s="1" t="s">
        <v>38</v>
      </c>
      <c r="B91" s="3">
        <v>43771.734247685185</v>
      </c>
      <c r="C91" s="2" t="s">
        <v>39</v>
      </c>
      <c r="D91" s="2" t="str">
        <f t="shared" si="6"/>
        <v>NV107</v>
      </c>
      <c r="E91" s="2" t="s">
        <v>0</v>
      </c>
      <c r="F91" s="2" t="str">
        <f t="shared" si="7"/>
        <v>NV10743771RaChiều</v>
      </c>
      <c r="G91" s="52" t="str">
        <f t="shared" si="8"/>
        <v>17:37:19</v>
      </c>
      <c r="H91" s="53" t="str">
        <f t="shared" si="9"/>
        <v>Ra</v>
      </c>
      <c r="I91" s="53" t="str">
        <f t="shared" si="10"/>
        <v>Chiều</v>
      </c>
      <c r="J91" s="53" t="s">
        <v>37</v>
      </c>
      <c r="K91" s="53" t="s">
        <v>103</v>
      </c>
      <c r="L91" s="54">
        <f t="shared" si="11"/>
        <v>43771</v>
      </c>
      <c r="M91" s="54"/>
    </row>
    <row r="92" spans="1:13" s="47" customFormat="1" ht="13.8" x14ac:dyDescent="0.3">
      <c r="A92" s="1" t="s">
        <v>38</v>
      </c>
      <c r="B92" s="3">
        <v>43771.32262731481</v>
      </c>
      <c r="C92" s="2" t="s">
        <v>39</v>
      </c>
      <c r="D92" s="2" t="str">
        <f t="shared" si="6"/>
        <v>NV107</v>
      </c>
      <c r="E92" s="2" t="s">
        <v>0</v>
      </c>
      <c r="F92" s="2" t="str">
        <f t="shared" si="7"/>
        <v>NV10743771VàoSáng</v>
      </c>
      <c r="G92" s="52" t="str">
        <f t="shared" si="8"/>
        <v>07:44:35</v>
      </c>
      <c r="H92" s="53" t="str">
        <f t="shared" si="9"/>
        <v>Vào</v>
      </c>
      <c r="I92" s="53" t="str">
        <f t="shared" si="10"/>
        <v>Sáng</v>
      </c>
      <c r="J92" s="53" t="s">
        <v>39</v>
      </c>
      <c r="K92" s="53" t="s">
        <v>102</v>
      </c>
      <c r="L92" s="54">
        <f t="shared" si="11"/>
        <v>43771</v>
      </c>
      <c r="M92" s="54"/>
    </row>
    <row r="93" spans="1:13" s="47" customFormat="1" ht="13.8" x14ac:dyDescent="0.3">
      <c r="A93" s="1" t="s">
        <v>38</v>
      </c>
      <c r="B93" s="3">
        <v>43770.734409722223</v>
      </c>
      <c r="C93" s="2" t="s">
        <v>39</v>
      </c>
      <c r="D93" s="2" t="str">
        <f t="shared" si="6"/>
        <v>NV107</v>
      </c>
      <c r="E93" s="2" t="s">
        <v>0</v>
      </c>
      <c r="F93" s="2" t="str">
        <f t="shared" si="7"/>
        <v>NV10743770RaChiều</v>
      </c>
      <c r="G93" s="52" t="str">
        <f t="shared" si="8"/>
        <v>17:37:33</v>
      </c>
      <c r="H93" s="53" t="str">
        <f t="shared" si="9"/>
        <v>Ra</v>
      </c>
      <c r="I93" s="53" t="str">
        <f t="shared" si="10"/>
        <v>Chiều</v>
      </c>
      <c r="J93" s="53" t="s">
        <v>37</v>
      </c>
      <c r="K93" s="53" t="s">
        <v>103</v>
      </c>
      <c r="L93" s="54">
        <f t="shared" si="11"/>
        <v>43770</v>
      </c>
      <c r="M93" s="54"/>
    </row>
    <row r="94" spans="1:13" s="47" customFormat="1" ht="13.8" x14ac:dyDescent="0.3">
      <c r="A94" s="1" t="s">
        <v>38</v>
      </c>
      <c r="B94" s="3">
        <v>43770.338472222218</v>
      </c>
      <c r="C94" s="2" t="s">
        <v>39</v>
      </c>
      <c r="D94" s="2" t="str">
        <f t="shared" si="6"/>
        <v>NV107</v>
      </c>
      <c r="E94" s="2" t="s">
        <v>0</v>
      </c>
      <c r="F94" s="2" t="str">
        <f t="shared" si="7"/>
        <v>NV10743770VàoSáng</v>
      </c>
      <c r="G94" s="52" t="str">
        <f t="shared" si="8"/>
        <v>08:07:24</v>
      </c>
      <c r="H94" s="53" t="str">
        <f t="shared" si="9"/>
        <v>Vào</v>
      </c>
      <c r="I94" s="53" t="str">
        <f t="shared" si="10"/>
        <v>Sáng</v>
      </c>
      <c r="J94" s="53" t="s">
        <v>39</v>
      </c>
      <c r="K94" s="53" t="s">
        <v>102</v>
      </c>
      <c r="L94" s="54">
        <f t="shared" si="11"/>
        <v>43770</v>
      </c>
      <c r="M94" s="54"/>
    </row>
    <row r="95" spans="1:13" s="47" customFormat="1" ht="13.8" x14ac:dyDescent="0.3">
      <c r="A95" s="1" t="s">
        <v>40</v>
      </c>
      <c r="B95" s="3">
        <v>43799.736250000002</v>
      </c>
      <c r="C95" s="2" t="s">
        <v>37</v>
      </c>
      <c r="D95" s="2" t="str">
        <f t="shared" si="6"/>
        <v>NV108</v>
      </c>
      <c r="E95" s="2" t="s">
        <v>0</v>
      </c>
      <c r="F95" s="2" t="str">
        <f t="shared" si="7"/>
        <v>NV10843799RaChiều</v>
      </c>
      <c r="G95" s="52" t="str">
        <f t="shared" si="8"/>
        <v>17:40:12</v>
      </c>
      <c r="H95" s="53" t="str">
        <f t="shared" si="9"/>
        <v>Ra</v>
      </c>
      <c r="I95" s="53" t="str">
        <f t="shared" si="10"/>
        <v>Chiều</v>
      </c>
      <c r="J95" s="53" t="s">
        <v>37</v>
      </c>
      <c r="K95" s="53" t="s">
        <v>103</v>
      </c>
      <c r="L95" s="54">
        <f t="shared" si="11"/>
        <v>43799</v>
      </c>
      <c r="M95" s="54"/>
    </row>
    <row r="96" spans="1:13" s="47" customFormat="1" ht="13.8" x14ac:dyDescent="0.3">
      <c r="A96" s="1" t="s">
        <v>40</v>
      </c>
      <c r="B96" s="3">
        <v>43799.334513888884</v>
      </c>
      <c r="C96" s="2" t="s">
        <v>37</v>
      </c>
      <c r="D96" s="2" t="str">
        <f t="shared" si="6"/>
        <v>NV108</v>
      </c>
      <c r="E96" s="2" t="s">
        <v>0</v>
      </c>
      <c r="F96" s="2" t="str">
        <f t="shared" si="7"/>
        <v>NV10843799VàoSáng</v>
      </c>
      <c r="G96" s="52" t="str">
        <f t="shared" si="8"/>
        <v>08:01:42</v>
      </c>
      <c r="H96" s="53" t="str">
        <f t="shared" si="9"/>
        <v>Vào</v>
      </c>
      <c r="I96" s="53" t="str">
        <f t="shared" si="10"/>
        <v>Sáng</v>
      </c>
      <c r="J96" s="53" t="s">
        <v>39</v>
      </c>
      <c r="K96" s="53" t="s">
        <v>102</v>
      </c>
      <c r="L96" s="54">
        <f t="shared" si="11"/>
        <v>43799</v>
      </c>
      <c r="M96" s="54"/>
    </row>
    <row r="97" spans="1:13" s="47" customFormat="1" ht="13.8" x14ac:dyDescent="0.3">
      <c r="A97" s="1" t="s">
        <v>40</v>
      </c>
      <c r="B97" s="3">
        <v>43798.736782407403</v>
      </c>
      <c r="C97" s="2" t="s">
        <v>37</v>
      </c>
      <c r="D97" s="2" t="str">
        <f t="shared" si="6"/>
        <v>NV108</v>
      </c>
      <c r="E97" s="2" t="s">
        <v>0</v>
      </c>
      <c r="F97" s="2" t="str">
        <f t="shared" si="7"/>
        <v>NV10843798RaChiều</v>
      </c>
      <c r="G97" s="52" t="str">
        <f t="shared" si="8"/>
        <v>17:40:58</v>
      </c>
      <c r="H97" s="53" t="str">
        <f t="shared" si="9"/>
        <v>Ra</v>
      </c>
      <c r="I97" s="53" t="str">
        <f t="shared" si="10"/>
        <v>Chiều</v>
      </c>
      <c r="J97" s="53" t="s">
        <v>37</v>
      </c>
      <c r="K97" s="53" t="s">
        <v>103</v>
      </c>
      <c r="L97" s="54">
        <f t="shared" si="11"/>
        <v>43798</v>
      </c>
      <c r="M97" s="54"/>
    </row>
    <row r="98" spans="1:13" s="47" customFormat="1" ht="13.8" x14ac:dyDescent="0.3">
      <c r="A98" s="1" t="s">
        <v>40</v>
      </c>
      <c r="B98" s="3">
        <v>43798.732754629629</v>
      </c>
      <c r="C98" s="2" t="s">
        <v>37</v>
      </c>
      <c r="D98" s="2" t="str">
        <f t="shared" si="6"/>
        <v>NV108</v>
      </c>
      <c r="E98" s="2" t="s">
        <v>0</v>
      </c>
      <c r="F98" s="2" t="str">
        <f t="shared" si="7"/>
        <v>NV10843798RaChiều</v>
      </c>
      <c r="G98" s="52" t="str">
        <f t="shared" si="8"/>
        <v>17:35:10</v>
      </c>
      <c r="H98" s="53" t="str">
        <f t="shared" si="9"/>
        <v>Ra</v>
      </c>
      <c r="I98" s="53" t="str">
        <f t="shared" si="10"/>
        <v>Chiều</v>
      </c>
      <c r="J98" s="53" t="s">
        <v>37</v>
      </c>
      <c r="K98" s="53" t="s">
        <v>103</v>
      </c>
      <c r="L98" s="54">
        <f t="shared" si="11"/>
        <v>43798</v>
      </c>
      <c r="M98" s="54"/>
    </row>
    <row r="99" spans="1:13" s="47" customFormat="1" ht="13.8" x14ac:dyDescent="0.3">
      <c r="A99" s="1" t="s">
        <v>40</v>
      </c>
      <c r="B99" s="3">
        <v>43798.34202546296</v>
      </c>
      <c r="C99" s="2" t="s">
        <v>37</v>
      </c>
      <c r="D99" s="2" t="str">
        <f t="shared" si="6"/>
        <v>NV108</v>
      </c>
      <c r="E99" s="2" t="s">
        <v>0</v>
      </c>
      <c r="F99" s="2" t="str">
        <f t="shared" si="7"/>
        <v>NV10843798VàoSáng</v>
      </c>
      <c r="G99" s="52" t="str">
        <f t="shared" si="8"/>
        <v>08:12:31</v>
      </c>
      <c r="H99" s="53" t="str">
        <f t="shared" si="9"/>
        <v>Vào</v>
      </c>
      <c r="I99" s="53" t="str">
        <f t="shared" si="10"/>
        <v>Sáng</v>
      </c>
      <c r="J99" s="53" t="s">
        <v>39</v>
      </c>
      <c r="K99" s="53" t="s">
        <v>102</v>
      </c>
      <c r="L99" s="54">
        <f t="shared" si="11"/>
        <v>43798</v>
      </c>
      <c r="M99" s="54"/>
    </row>
    <row r="100" spans="1:13" s="47" customFormat="1" ht="13.8" x14ac:dyDescent="0.3">
      <c r="A100" s="1" t="s">
        <v>40</v>
      </c>
      <c r="B100" s="3">
        <v>43797.738715277774</v>
      </c>
      <c r="C100" s="2" t="s">
        <v>37</v>
      </c>
      <c r="D100" s="2" t="str">
        <f t="shared" si="6"/>
        <v>NV108</v>
      </c>
      <c r="E100" s="2" t="s">
        <v>0</v>
      </c>
      <c r="F100" s="2" t="str">
        <f t="shared" si="7"/>
        <v>NV10843797RaChiều</v>
      </c>
      <c r="G100" s="52" t="str">
        <f t="shared" si="8"/>
        <v>17:43:45</v>
      </c>
      <c r="H100" s="53" t="str">
        <f t="shared" si="9"/>
        <v>Ra</v>
      </c>
      <c r="I100" s="53" t="str">
        <f t="shared" si="10"/>
        <v>Chiều</v>
      </c>
      <c r="J100" s="53" t="s">
        <v>37</v>
      </c>
      <c r="K100" s="53" t="s">
        <v>103</v>
      </c>
      <c r="L100" s="54">
        <f t="shared" si="11"/>
        <v>43797</v>
      </c>
      <c r="M100" s="54"/>
    </row>
    <row r="101" spans="1:13" s="47" customFormat="1" ht="13.8" x14ac:dyDescent="0.3">
      <c r="A101" s="1" t="s">
        <v>40</v>
      </c>
      <c r="B101" s="3">
        <v>43797.333171296297</v>
      </c>
      <c r="C101" s="2" t="s">
        <v>37</v>
      </c>
      <c r="D101" s="2" t="str">
        <f t="shared" si="6"/>
        <v>NV108</v>
      </c>
      <c r="E101" s="2" t="s">
        <v>0</v>
      </c>
      <c r="F101" s="2" t="str">
        <f t="shared" si="7"/>
        <v>NV10843797VàoSáng</v>
      </c>
      <c r="G101" s="52" t="str">
        <f t="shared" si="8"/>
        <v>07:59:46</v>
      </c>
      <c r="H101" s="53" t="str">
        <f t="shared" si="9"/>
        <v>Vào</v>
      </c>
      <c r="I101" s="53" t="str">
        <f t="shared" si="10"/>
        <v>Sáng</v>
      </c>
      <c r="J101" s="53" t="s">
        <v>39</v>
      </c>
      <c r="K101" s="53" t="s">
        <v>102</v>
      </c>
      <c r="L101" s="54">
        <f t="shared" si="11"/>
        <v>43797</v>
      </c>
      <c r="M101" s="54"/>
    </row>
    <row r="102" spans="1:13" s="47" customFormat="1" ht="13.8" x14ac:dyDescent="0.3">
      <c r="A102" s="1" t="s">
        <v>40</v>
      </c>
      <c r="B102" s="3">
        <v>43796.733981481477</v>
      </c>
      <c r="C102" s="2" t="s">
        <v>37</v>
      </c>
      <c r="D102" s="2" t="str">
        <f t="shared" si="6"/>
        <v>NV108</v>
      </c>
      <c r="E102" s="2" t="s">
        <v>0</v>
      </c>
      <c r="F102" s="2" t="str">
        <f t="shared" si="7"/>
        <v>NV10843796RaChiều</v>
      </c>
      <c r="G102" s="52" t="str">
        <f t="shared" si="8"/>
        <v>17:36:56</v>
      </c>
      <c r="H102" s="53" t="str">
        <f t="shared" si="9"/>
        <v>Ra</v>
      </c>
      <c r="I102" s="53" t="str">
        <f t="shared" si="10"/>
        <v>Chiều</v>
      </c>
      <c r="J102" s="53" t="s">
        <v>37</v>
      </c>
      <c r="K102" s="53" t="s">
        <v>103</v>
      </c>
      <c r="L102" s="54">
        <f t="shared" si="11"/>
        <v>43796</v>
      </c>
      <c r="M102" s="54"/>
    </row>
    <row r="103" spans="1:13" s="47" customFormat="1" ht="13.8" x14ac:dyDescent="0.3">
      <c r="A103" s="1" t="s">
        <v>40</v>
      </c>
      <c r="B103" s="3">
        <v>43796.340624999997</v>
      </c>
      <c r="C103" s="2" t="s">
        <v>37</v>
      </c>
      <c r="D103" s="2" t="str">
        <f t="shared" si="6"/>
        <v>NV108</v>
      </c>
      <c r="E103" s="2" t="s">
        <v>0</v>
      </c>
      <c r="F103" s="2" t="str">
        <f t="shared" si="7"/>
        <v>NV10843796VàoSáng</v>
      </c>
      <c r="G103" s="52" t="str">
        <f t="shared" si="8"/>
        <v>08:10:30</v>
      </c>
      <c r="H103" s="53" t="str">
        <f t="shared" si="9"/>
        <v>Vào</v>
      </c>
      <c r="I103" s="53" t="str">
        <f t="shared" si="10"/>
        <v>Sáng</v>
      </c>
      <c r="J103" s="53" t="s">
        <v>39</v>
      </c>
      <c r="K103" s="53" t="s">
        <v>102</v>
      </c>
      <c r="L103" s="54">
        <f t="shared" si="11"/>
        <v>43796</v>
      </c>
      <c r="M103" s="54"/>
    </row>
    <row r="104" spans="1:13" s="47" customFormat="1" ht="13.8" x14ac:dyDescent="0.3">
      <c r="A104" s="1" t="s">
        <v>40</v>
      </c>
      <c r="B104" s="3">
        <v>43795.732430555552</v>
      </c>
      <c r="C104" s="2" t="s">
        <v>37</v>
      </c>
      <c r="D104" s="2" t="str">
        <f t="shared" si="6"/>
        <v>NV108</v>
      </c>
      <c r="E104" s="2" t="s">
        <v>0</v>
      </c>
      <c r="F104" s="2" t="str">
        <f t="shared" si="7"/>
        <v>NV10843795RaChiều</v>
      </c>
      <c r="G104" s="52" t="str">
        <f t="shared" si="8"/>
        <v>17:34:42</v>
      </c>
      <c r="H104" s="53" t="str">
        <f t="shared" si="9"/>
        <v>Ra</v>
      </c>
      <c r="I104" s="53" t="str">
        <f t="shared" si="10"/>
        <v>Chiều</v>
      </c>
      <c r="J104" s="53" t="s">
        <v>37</v>
      </c>
      <c r="K104" s="53" t="s">
        <v>103</v>
      </c>
      <c r="L104" s="54">
        <f t="shared" si="11"/>
        <v>43795</v>
      </c>
      <c r="M104" s="54"/>
    </row>
    <row r="105" spans="1:13" s="47" customFormat="1" ht="13.8" x14ac:dyDescent="0.3">
      <c r="A105" s="1" t="s">
        <v>40</v>
      </c>
      <c r="B105" s="3">
        <v>43795.334374999999</v>
      </c>
      <c r="C105" s="2" t="s">
        <v>37</v>
      </c>
      <c r="D105" s="2" t="str">
        <f t="shared" si="6"/>
        <v>NV108</v>
      </c>
      <c r="E105" s="2" t="s">
        <v>0</v>
      </c>
      <c r="F105" s="2" t="str">
        <f t="shared" si="7"/>
        <v>NV10843795VàoSáng</v>
      </c>
      <c r="G105" s="52" t="str">
        <f t="shared" si="8"/>
        <v>08:01:30</v>
      </c>
      <c r="H105" s="53" t="str">
        <f t="shared" si="9"/>
        <v>Vào</v>
      </c>
      <c r="I105" s="53" t="str">
        <f t="shared" si="10"/>
        <v>Sáng</v>
      </c>
      <c r="J105" s="53" t="s">
        <v>39</v>
      </c>
      <c r="K105" s="53" t="s">
        <v>102</v>
      </c>
      <c r="L105" s="54">
        <f t="shared" si="11"/>
        <v>43795</v>
      </c>
      <c r="M105" s="54"/>
    </row>
    <row r="106" spans="1:13" s="47" customFormat="1" ht="13.8" x14ac:dyDescent="0.3">
      <c r="A106" s="1" t="s">
        <v>40</v>
      </c>
      <c r="B106" s="3">
        <v>43794.737326388888</v>
      </c>
      <c r="C106" s="2" t="s">
        <v>37</v>
      </c>
      <c r="D106" s="2" t="str">
        <f t="shared" si="6"/>
        <v>NV108</v>
      </c>
      <c r="E106" s="2" t="s">
        <v>0</v>
      </c>
      <c r="F106" s="2" t="str">
        <f t="shared" si="7"/>
        <v>NV10843794RaChiều</v>
      </c>
      <c r="G106" s="52" t="str">
        <f t="shared" si="8"/>
        <v>17:41:45</v>
      </c>
      <c r="H106" s="53" t="str">
        <f t="shared" si="9"/>
        <v>Ra</v>
      </c>
      <c r="I106" s="53" t="str">
        <f t="shared" si="10"/>
        <v>Chiều</v>
      </c>
      <c r="J106" s="53" t="s">
        <v>37</v>
      </c>
      <c r="K106" s="53" t="s">
        <v>103</v>
      </c>
      <c r="L106" s="54">
        <f t="shared" si="11"/>
        <v>43794</v>
      </c>
      <c r="M106" s="54"/>
    </row>
    <row r="107" spans="1:13" s="47" customFormat="1" ht="13.8" x14ac:dyDescent="0.3">
      <c r="A107" s="1" t="s">
        <v>40</v>
      </c>
      <c r="B107" s="3">
        <v>43794.33017361111</v>
      </c>
      <c r="C107" s="2" t="s">
        <v>37</v>
      </c>
      <c r="D107" s="2" t="str">
        <f t="shared" si="6"/>
        <v>NV108</v>
      </c>
      <c r="E107" s="2" t="s">
        <v>0</v>
      </c>
      <c r="F107" s="2" t="str">
        <f t="shared" si="7"/>
        <v>NV10843794VàoSáng</v>
      </c>
      <c r="G107" s="52" t="str">
        <f t="shared" si="8"/>
        <v>07:55:27</v>
      </c>
      <c r="H107" s="53" t="str">
        <f t="shared" si="9"/>
        <v>Vào</v>
      </c>
      <c r="I107" s="53" t="str">
        <f t="shared" si="10"/>
        <v>Sáng</v>
      </c>
      <c r="J107" s="53" t="s">
        <v>39</v>
      </c>
      <c r="K107" s="53" t="s">
        <v>102</v>
      </c>
      <c r="L107" s="54">
        <f t="shared" si="11"/>
        <v>43794</v>
      </c>
      <c r="M107" s="54"/>
    </row>
    <row r="108" spans="1:13" s="47" customFormat="1" ht="13.8" x14ac:dyDescent="0.3">
      <c r="A108" s="1" t="s">
        <v>40</v>
      </c>
      <c r="B108" s="3">
        <v>43792.734652777777</v>
      </c>
      <c r="C108" s="2" t="s">
        <v>37</v>
      </c>
      <c r="D108" s="2" t="str">
        <f t="shared" si="6"/>
        <v>NV108</v>
      </c>
      <c r="E108" s="2" t="s">
        <v>0</v>
      </c>
      <c r="F108" s="2" t="str">
        <f t="shared" si="7"/>
        <v>NV10843792RaChiều</v>
      </c>
      <c r="G108" s="52" t="str">
        <f t="shared" si="8"/>
        <v>17:37:54</v>
      </c>
      <c r="H108" s="53" t="str">
        <f t="shared" si="9"/>
        <v>Ra</v>
      </c>
      <c r="I108" s="53" t="str">
        <f t="shared" si="10"/>
        <v>Chiều</v>
      </c>
      <c r="J108" s="53" t="s">
        <v>37</v>
      </c>
      <c r="K108" s="53" t="s">
        <v>103</v>
      </c>
      <c r="L108" s="54">
        <f t="shared" si="11"/>
        <v>43792</v>
      </c>
      <c r="M108" s="54"/>
    </row>
    <row r="109" spans="1:13" s="47" customFormat="1" ht="13.8" x14ac:dyDescent="0.3">
      <c r="A109" s="1" t="s">
        <v>40</v>
      </c>
      <c r="B109" s="3">
        <v>43792.343576388885</v>
      </c>
      <c r="C109" s="2" t="s">
        <v>37</v>
      </c>
      <c r="D109" s="2" t="str">
        <f t="shared" si="6"/>
        <v>NV108</v>
      </c>
      <c r="E109" s="2" t="s">
        <v>0</v>
      </c>
      <c r="F109" s="2" t="str">
        <f t="shared" si="7"/>
        <v>NV10843792VàoSáng</v>
      </c>
      <c r="G109" s="52" t="str">
        <f t="shared" si="8"/>
        <v>08:14:45</v>
      </c>
      <c r="H109" s="53" t="str">
        <f t="shared" si="9"/>
        <v>Vào</v>
      </c>
      <c r="I109" s="53" t="str">
        <f t="shared" si="10"/>
        <v>Sáng</v>
      </c>
      <c r="J109" s="53" t="s">
        <v>39</v>
      </c>
      <c r="K109" s="53" t="s">
        <v>102</v>
      </c>
      <c r="L109" s="54">
        <f t="shared" si="11"/>
        <v>43792</v>
      </c>
      <c r="M109" s="54"/>
    </row>
    <row r="110" spans="1:13" s="47" customFormat="1" ht="13.8" x14ac:dyDescent="0.3">
      <c r="A110" s="1" t="s">
        <v>40</v>
      </c>
      <c r="B110" s="3">
        <v>43791.744791666664</v>
      </c>
      <c r="C110" s="2" t="s">
        <v>37</v>
      </c>
      <c r="D110" s="2" t="str">
        <f t="shared" si="6"/>
        <v>NV108</v>
      </c>
      <c r="E110" s="2" t="s">
        <v>0</v>
      </c>
      <c r="F110" s="2" t="str">
        <f t="shared" si="7"/>
        <v>NV10843791RaChiều</v>
      </c>
      <c r="G110" s="52" t="str">
        <f t="shared" si="8"/>
        <v>17:52:30</v>
      </c>
      <c r="H110" s="53" t="str">
        <f t="shared" si="9"/>
        <v>Ra</v>
      </c>
      <c r="I110" s="53" t="str">
        <f t="shared" si="10"/>
        <v>Chiều</v>
      </c>
      <c r="J110" s="53" t="s">
        <v>37</v>
      </c>
      <c r="K110" s="53" t="s">
        <v>103</v>
      </c>
      <c r="L110" s="54">
        <f t="shared" si="11"/>
        <v>43791</v>
      </c>
      <c r="M110" s="54"/>
    </row>
    <row r="111" spans="1:13" s="47" customFormat="1" ht="13.8" x14ac:dyDescent="0.3">
      <c r="A111" s="1" t="s">
        <v>40</v>
      </c>
      <c r="B111" s="3">
        <v>43791.333981481483</v>
      </c>
      <c r="C111" s="2" t="s">
        <v>37</v>
      </c>
      <c r="D111" s="2" t="str">
        <f t="shared" si="6"/>
        <v>NV108</v>
      </c>
      <c r="E111" s="2" t="s">
        <v>0</v>
      </c>
      <c r="F111" s="2" t="str">
        <f t="shared" si="7"/>
        <v>NV10843791VàoSáng</v>
      </c>
      <c r="G111" s="52" t="str">
        <f t="shared" si="8"/>
        <v>08:00:56</v>
      </c>
      <c r="H111" s="53" t="str">
        <f t="shared" si="9"/>
        <v>Vào</v>
      </c>
      <c r="I111" s="53" t="str">
        <f t="shared" si="10"/>
        <v>Sáng</v>
      </c>
      <c r="J111" s="53" t="s">
        <v>39</v>
      </c>
      <c r="K111" s="53" t="s">
        <v>102</v>
      </c>
      <c r="L111" s="54">
        <f t="shared" si="11"/>
        <v>43791</v>
      </c>
      <c r="M111" s="54"/>
    </row>
    <row r="112" spans="1:13" s="47" customFormat="1" ht="13.8" x14ac:dyDescent="0.3">
      <c r="A112" s="1" t="s">
        <v>40</v>
      </c>
      <c r="B112" s="3">
        <v>43790.734872685185</v>
      </c>
      <c r="C112" s="2" t="s">
        <v>37</v>
      </c>
      <c r="D112" s="2" t="str">
        <f t="shared" si="6"/>
        <v>NV108</v>
      </c>
      <c r="E112" s="2" t="s">
        <v>0</v>
      </c>
      <c r="F112" s="2" t="str">
        <f t="shared" si="7"/>
        <v>NV10843790RaChiều</v>
      </c>
      <c r="G112" s="52" t="str">
        <f t="shared" si="8"/>
        <v>17:38:13</v>
      </c>
      <c r="H112" s="53" t="str">
        <f t="shared" si="9"/>
        <v>Ra</v>
      </c>
      <c r="I112" s="53" t="str">
        <f t="shared" si="10"/>
        <v>Chiều</v>
      </c>
      <c r="J112" s="53" t="s">
        <v>37</v>
      </c>
      <c r="K112" s="53" t="s">
        <v>103</v>
      </c>
      <c r="L112" s="54">
        <f t="shared" si="11"/>
        <v>43790</v>
      </c>
      <c r="M112" s="54"/>
    </row>
    <row r="113" spans="1:13" s="47" customFormat="1" ht="13.8" x14ac:dyDescent="0.3">
      <c r="A113" s="1" t="s">
        <v>40</v>
      </c>
      <c r="B113" s="3">
        <v>43790.732557870368</v>
      </c>
      <c r="C113" s="2" t="s">
        <v>37</v>
      </c>
      <c r="D113" s="2" t="str">
        <f t="shared" si="6"/>
        <v>NV108</v>
      </c>
      <c r="E113" s="2" t="s">
        <v>0</v>
      </c>
      <c r="F113" s="2" t="str">
        <f t="shared" si="7"/>
        <v>NV10843790RaChiều</v>
      </c>
      <c r="G113" s="52" t="str">
        <f t="shared" si="8"/>
        <v>17:34:53</v>
      </c>
      <c r="H113" s="53" t="str">
        <f t="shared" si="9"/>
        <v>Ra</v>
      </c>
      <c r="I113" s="53" t="str">
        <f t="shared" si="10"/>
        <v>Chiều</v>
      </c>
      <c r="J113" s="53" t="s">
        <v>37</v>
      </c>
      <c r="K113" s="53" t="s">
        <v>103</v>
      </c>
      <c r="L113" s="54">
        <f t="shared" si="11"/>
        <v>43790</v>
      </c>
      <c r="M113" s="54"/>
    </row>
    <row r="114" spans="1:13" s="47" customFormat="1" ht="13.8" x14ac:dyDescent="0.3">
      <c r="A114" s="1" t="s">
        <v>40</v>
      </c>
      <c r="B114" s="3">
        <v>43790.370532407404</v>
      </c>
      <c r="C114" s="2" t="s">
        <v>37</v>
      </c>
      <c r="D114" s="2" t="str">
        <f t="shared" si="6"/>
        <v>NV108</v>
      </c>
      <c r="E114" s="2" t="s">
        <v>0</v>
      </c>
      <c r="F114" s="2" t="str">
        <f t="shared" si="7"/>
        <v>NV10843790VàoSáng</v>
      </c>
      <c r="G114" s="52" t="str">
        <f t="shared" si="8"/>
        <v>08:53:34</v>
      </c>
      <c r="H114" s="53" t="str">
        <f t="shared" si="9"/>
        <v>Vào</v>
      </c>
      <c r="I114" s="53" t="str">
        <f t="shared" si="10"/>
        <v>Sáng</v>
      </c>
      <c r="J114" s="53" t="s">
        <v>39</v>
      </c>
      <c r="K114" s="53" t="s">
        <v>102</v>
      </c>
      <c r="L114" s="54">
        <f t="shared" si="11"/>
        <v>43790</v>
      </c>
      <c r="M114" s="54"/>
    </row>
    <row r="115" spans="1:13" s="47" customFormat="1" ht="13.8" x14ac:dyDescent="0.3">
      <c r="A115" s="1" t="s">
        <v>40</v>
      </c>
      <c r="B115" s="3">
        <v>43789.732071759259</v>
      </c>
      <c r="C115" s="2" t="s">
        <v>37</v>
      </c>
      <c r="D115" s="2" t="str">
        <f t="shared" si="6"/>
        <v>NV108</v>
      </c>
      <c r="E115" s="2" t="s">
        <v>0</v>
      </c>
      <c r="F115" s="2" t="str">
        <f t="shared" si="7"/>
        <v>NV10843789RaChiều</v>
      </c>
      <c r="G115" s="52" t="str">
        <f t="shared" si="8"/>
        <v>17:34:11</v>
      </c>
      <c r="H115" s="53" t="str">
        <f t="shared" si="9"/>
        <v>Ra</v>
      </c>
      <c r="I115" s="53" t="str">
        <f t="shared" si="10"/>
        <v>Chiều</v>
      </c>
      <c r="J115" s="53" t="s">
        <v>37</v>
      </c>
      <c r="K115" s="53" t="s">
        <v>103</v>
      </c>
      <c r="L115" s="54">
        <f t="shared" si="11"/>
        <v>43789</v>
      </c>
      <c r="M115" s="54"/>
    </row>
    <row r="116" spans="1:13" s="47" customFormat="1" ht="13.8" x14ac:dyDescent="0.3">
      <c r="A116" s="1" t="s">
        <v>40</v>
      </c>
      <c r="B116" s="3">
        <v>43789.34302083333</v>
      </c>
      <c r="C116" s="2" t="s">
        <v>37</v>
      </c>
      <c r="D116" s="2" t="str">
        <f t="shared" si="6"/>
        <v>NV108</v>
      </c>
      <c r="E116" s="2" t="s">
        <v>0</v>
      </c>
      <c r="F116" s="2" t="str">
        <f t="shared" si="7"/>
        <v>NV10843789VàoSáng</v>
      </c>
      <c r="G116" s="52" t="str">
        <f t="shared" si="8"/>
        <v>08:13:57</v>
      </c>
      <c r="H116" s="53" t="str">
        <f t="shared" si="9"/>
        <v>Vào</v>
      </c>
      <c r="I116" s="53" t="str">
        <f t="shared" si="10"/>
        <v>Sáng</v>
      </c>
      <c r="J116" s="53" t="s">
        <v>39</v>
      </c>
      <c r="K116" s="53" t="s">
        <v>102</v>
      </c>
      <c r="L116" s="54">
        <f t="shared" si="11"/>
        <v>43789</v>
      </c>
      <c r="M116" s="54"/>
    </row>
    <row r="117" spans="1:13" s="47" customFormat="1" ht="13.8" x14ac:dyDescent="0.3">
      <c r="A117" s="1" t="s">
        <v>40</v>
      </c>
      <c r="B117" s="3">
        <v>43785.643495370372</v>
      </c>
      <c r="C117" s="2" t="s">
        <v>37</v>
      </c>
      <c r="D117" s="2" t="str">
        <f t="shared" si="6"/>
        <v>NV108</v>
      </c>
      <c r="E117" s="2" t="s">
        <v>0</v>
      </c>
      <c r="F117" s="2" t="str">
        <f t="shared" si="7"/>
        <v>NV10843785RaSáng</v>
      </c>
      <c r="G117" s="52" t="str">
        <f t="shared" si="8"/>
        <v>15:26:38</v>
      </c>
      <c r="H117" s="53" t="str">
        <f>IF(AND(I117="Sáng",G117&lt;"11:00:00",G117&gt;="07:00:00"),"Vào",
IF(AND(I117="Sáng",G117&lt;"13:00:00",G117&gt;="11:00:00"),"Ra",
IF(AND(I117="Chiều",G117&lt;"16:00:00",G117&gt;="13:00:00"),"Vào",
IF(AND(I117="Chiều",G117&lt;"20:00:00",G117&gt;="16:00:00"),"Ra"))))</f>
        <v>Vào</v>
      </c>
      <c r="I117" s="53" t="str">
        <f t="shared" si="10"/>
        <v>Chiều</v>
      </c>
      <c r="J117" s="53" t="s">
        <v>37</v>
      </c>
      <c r="K117" s="53" t="s">
        <v>102</v>
      </c>
      <c r="L117" s="54">
        <f t="shared" si="11"/>
        <v>43785</v>
      </c>
      <c r="M117" s="54" t="s">
        <v>113</v>
      </c>
    </row>
    <row r="118" spans="1:13" s="47" customFormat="1" ht="13.8" x14ac:dyDescent="0.3">
      <c r="A118" s="1" t="s">
        <v>40</v>
      </c>
      <c r="B118" s="3">
        <v>43785.345486111109</v>
      </c>
      <c r="C118" s="2" t="s">
        <v>37</v>
      </c>
      <c r="D118" s="2" t="str">
        <f t="shared" si="6"/>
        <v>NV108</v>
      </c>
      <c r="E118" s="2" t="s">
        <v>0</v>
      </c>
      <c r="F118" s="2" t="str">
        <f t="shared" si="7"/>
        <v>NV10843785VàoSáng</v>
      </c>
      <c r="G118" s="52" t="str">
        <f t="shared" si="8"/>
        <v>08:17:30</v>
      </c>
      <c r="H118" s="53" t="str">
        <f t="shared" si="9"/>
        <v>Vào</v>
      </c>
      <c r="I118" s="53" t="str">
        <f t="shared" si="10"/>
        <v>Sáng</v>
      </c>
      <c r="J118" s="53" t="s">
        <v>39</v>
      </c>
      <c r="K118" s="53" t="s">
        <v>102</v>
      </c>
      <c r="L118" s="54">
        <f t="shared" si="11"/>
        <v>43785</v>
      </c>
      <c r="M118" s="54"/>
    </row>
    <row r="119" spans="1:13" s="47" customFormat="1" ht="13.8" x14ac:dyDescent="0.3">
      <c r="A119" s="1" t="s">
        <v>40</v>
      </c>
      <c r="B119" s="3">
        <v>43784.737233796295</v>
      </c>
      <c r="C119" s="2" t="s">
        <v>37</v>
      </c>
      <c r="D119" s="2" t="str">
        <f t="shared" si="6"/>
        <v>NV108</v>
      </c>
      <c r="E119" s="2" t="s">
        <v>0</v>
      </c>
      <c r="F119" s="2" t="str">
        <f t="shared" si="7"/>
        <v>NV10843784RaChiều</v>
      </c>
      <c r="G119" s="52" t="str">
        <f t="shared" si="8"/>
        <v>17:41:37</v>
      </c>
      <c r="H119" s="53" t="str">
        <f t="shared" si="9"/>
        <v>Ra</v>
      </c>
      <c r="I119" s="53" t="str">
        <f t="shared" si="10"/>
        <v>Chiều</v>
      </c>
      <c r="J119" s="53" t="s">
        <v>37</v>
      </c>
      <c r="K119" s="53" t="s">
        <v>103</v>
      </c>
      <c r="L119" s="54">
        <f t="shared" si="11"/>
        <v>43784</v>
      </c>
      <c r="M119" s="54"/>
    </row>
    <row r="120" spans="1:13" s="47" customFormat="1" ht="13.8" x14ac:dyDescent="0.3">
      <c r="A120" s="1" t="s">
        <v>40</v>
      </c>
      <c r="B120" s="3">
        <v>43784.339606481481</v>
      </c>
      <c r="C120" s="2" t="s">
        <v>37</v>
      </c>
      <c r="D120" s="2" t="str">
        <f t="shared" si="6"/>
        <v>NV108</v>
      </c>
      <c r="E120" s="2" t="s">
        <v>0</v>
      </c>
      <c r="F120" s="2" t="str">
        <f t="shared" si="7"/>
        <v>NV10843784VàoSáng</v>
      </c>
      <c r="G120" s="52" t="str">
        <f t="shared" si="8"/>
        <v>08:09:02</v>
      </c>
      <c r="H120" s="53" t="str">
        <f t="shared" si="9"/>
        <v>Vào</v>
      </c>
      <c r="I120" s="53" t="str">
        <f t="shared" si="10"/>
        <v>Sáng</v>
      </c>
      <c r="J120" s="53" t="s">
        <v>39</v>
      </c>
      <c r="K120" s="53" t="s">
        <v>102</v>
      </c>
      <c r="L120" s="54">
        <f t="shared" si="11"/>
        <v>43784</v>
      </c>
      <c r="M120" s="54"/>
    </row>
    <row r="121" spans="1:13" s="47" customFormat="1" ht="13.8" x14ac:dyDescent="0.3">
      <c r="A121" s="1" t="s">
        <v>40</v>
      </c>
      <c r="B121" s="3">
        <v>43783.733761574069</v>
      </c>
      <c r="C121" s="2" t="s">
        <v>37</v>
      </c>
      <c r="D121" s="2" t="str">
        <f t="shared" si="6"/>
        <v>NV108</v>
      </c>
      <c r="E121" s="2" t="s">
        <v>0</v>
      </c>
      <c r="F121" s="2" t="str">
        <f t="shared" si="7"/>
        <v>NV10843783RaChiều</v>
      </c>
      <c r="G121" s="52" t="str">
        <f t="shared" si="8"/>
        <v>17:36:37</v>
      </c>
      <c r="H121" s="53" t="str">
        <f t="shared" si="9"/>
        <v>Ra</v>
      </c>
      <c r="I121" s="53" t="str">
        <f t="shared" si="10"/>
        <v>Chiều</v>
      </c>
      <c r="J121" s="53" t="s">
        <v>37</v>
      </c>
      <c r="K121" s="53" t="s">
        <v>103</v>
      </c>
      <c r="L121" s="54">
        <f t="shared" si="11"/>
        <v>43783</v>
      </c>
      <c r="M121" s="54"/>
    </row>
    <row r="122" spans="1:13" s="47" customFormat="1" ht="13.8" x14ac:dyDescent="0.3">
      <c r="A122" s="1" t="s">
        <v>40</v>
      </c>
      <c r="B122" s="3">
        <v>43783.334178240737</v>
      </c>
      <c r="C122" s="2" t="s">
        <v>37</v>
      </c>
      <c r="D122" s="2" t="str">
        <f t="shared" si="6"/>
        <v>NV108</v>
      </c>
      <c r="E122" s="2" t="s">
        <v>0</v>
      </c>
      <c r="F122" s="2" t="str">
        <f t="shared" si="7"/>
        <v>NV10843783VàoSáng</v>
      </c>
      <c r="G122" s="52" t="str">
        <f t="shared" si="8"/>
        <v>08:01:13</v>
      </c>
      <c r="H122" s="53" t="str">
        <f t="shared" si="9"/>
        <v>Vào</v>
      </c>
      <c r="I122" s="53" t="str">
        <f t="shared" si="10"/>
        <v>Sáng</v>
      </c>
      <c r="J122" s="53" t="s">
        <v>39</v>
      </c>
      <c r="K122" s="53" t="s">
        <v>102</v>
      </c>
      <c r="L122" s="54">
        <f t="shared" si="11"/>
        <v>43783</v>
      </c>
      <c r="M122" s="54"/>
    </row>
    <row r="123" spans="1:13" s="47" customFormat="1" ht="13.8" x14ac:dyDescent="0.3">
      <c r="A123" s="1" t="s">
        <v>40</v>
      </c>
      <c r="B123" s="3">
        <v>43782.73538194444</v>
      </c>
      <c r="C123" s="2" t="s">
        <v>37</v>
      </c>
      <c r="D123" s="2" t="str">
        <f t="shared" si="6"/>
        <v>NV108</v>
      </c>
      <c r="E123" s="2" t="s">
        <v>0</v>
      </c>
      <c r="F123" s="2" t="str">
        <f t="shared" si="7"/>
        <v>NV10843782RaChiều</v>
      </c>
      <c r="G123" s="52" t="str">
        <f t="shared" si="8"/>
        <v>17:38:57</v>
      </c>
      <c r="H123" s="53" t="str">
        <f t="shared" si="9"/>
        <v>Ra</v>
      </c>
      <c r="I123" s="53" t="str">
        <f t="shared" si="10"/>
        <v>Chiều</v>
      </c>
      <c r="J123" s="53" t="s">
        <v>37</v>
      </c>
      <c r="K123" s="53" t="s">
        <v>103</v>
      </c>
      <c r="L123" s="54">
        <f t="shared" si="11"/>
        <v>43782</v>
      </c>
      <c r="M123" s="54"/>
    </row>
    <row r="124" spans="1:13" s="47" customFormat="1" ht="13.8" x14ac:dyDescent="0.3">
      <c r="A124" s="1" t="s">
        <v>40</v>
      </c>
      <c r="B124" s="3">
        <v>43782.732905092591</v>
      </c>
      <c r="C124" s="2" t="s">
        <v>37</v>
      </c>
      <c r="D124" s="2" t="str">
        <f t="shared" si="6"/>
        <v>NV108</v>
      </c>
      <c r="E124" s="2" t="s">
        <v>0</v>
      </c>
      <c r="F124" s="2" t="str">
        <f t="shared" si="7"/>
        <v>NV10843782RaChiều</v>
      </c>
      <c r="G124" s="52" t="str">
        <f t="shared" si="8"/>
        <v>17:35:23</v>
      </c>
      <c r="H124" s="53" t="str">
        <f t="shared" si="9"/>
        <v>Ra</v>
      </c>
      <c r="I124" s="53" t="str">
        <f t="shared" si="10"/>
        <v>Chiều</v>
      </c>
      <c r="J124" s="53" t="s">
        <v>37</v>
      </c>
      <c r="K124" s="53" t="s">
        <v>103</v>
      </c>
      <c r="L124" s="54">
        <f t="shared" si="11"/>
        <v>43782</v>
      </c>
      <c r="M124" s="54"/>
    </row>
    <row r="125" spans="1:13" s="47" customFormat="1" ht="13.8" x14ac:dyDescent="0.3">
      <c r="A125" s="1" t="s">
        <v>40</v>
      </c>
      <c r="B125" s="3">
        <v>43782.334016203698</v>
      </c>
      <c r="C125" s="2" t="s">
        <v>37</v>
      </c>
      <c r="D125" s="2" t="str">
        <f t="shared" si="6"/>
        <v>NV108</v>
      </c>
      <c r="E125" s="2" t="s">
        <v>0</v>
      </c>
      <c r="F125" s="2" t="str">
        <f t="shared" si="7"/>
        <v>NV10843782VàoSáng</v>
      </c>
      <c r="G125" s="52" t="str">
        <f t="shared" si="8"/>
        <v>08:00:59</v>
      </c>
      <c r="H125" s="53" t="str">
        <f t="shared" si="9"/>
        <v>Vào</v>
      </c>
      <c r="I125" s="53" t="str">
        <f t="shared" si="10"/>
        <v>Sáng</v>
      </c>
      <c r="J125" s="53" t="s">
        <v>39</v>
      </c>
      <c r="K125" s="53" t="s">
        <v>102</v>
      </c>
      <c r="L125" s="54">
        <f t="shared" si="11"/>
        <v>43782</v>
      </c>
      <c r="M125" s="54"/>
    </row>
    <row r="126" spans="1:13" s="47" customFormat="1" ht="13.8" x14ac:dyDescent="0.3">
      <c r="A126" s="1" t="s">
        <v>40</v>
      </c>
      <c r="B126" s="3">
        <v>43782.331585648149</v>
      </c>
      <c r="C126" s="2" t="s">
        <v>37</v>
      </c>
      <c r="D126" s="2" t="str">
        <f t="shared" si="6"/>
        <v>NV108</v>
      </c>
      <c r="E126" s="2" t="s">
        <v>0</v>
      </c>
      <c r="F126" s="2" t="str">
        <f t="shared" si="7"/>
        <v>NV10843782VàoSáng</v>
      </c>
      <c r="G126" s="52" t="str">
        <f t="shared" si="8"/>
        <v>07:57:29</v>
      </c>
      <c r="H126" s="53" t="str">
        <f t="shared" si="9"/>
        <v>Vào</v>
      </c>
      <c r="I126" s="53" t="str">
        <f t="shared" si="10"/>
        <v>Sáng</v>
      </c>
      <c r="J126" s="53" t="s">
        <v>39</v>
      </c>
      <c r="K126" s="53" t="s">
        <v>102</v>
      </c>
      <c r="L126" s="54">
        <f t="shared" si="11"/>
        <v>43782</v>
      </c>
      <c r="M126" s="54"/>
    </row>
    <row r="127" spans="1:13" s="47" customFormat="1" ht="13.8" x14ac:dyDescent="0.3">
      <c r="A127" s="1" t="s">
        <v>40</v>
      </c>
      <c r="B127" s="3">
        <v>43781.736192129625</v>
      </c>
      <c r="C127" s="2" t="s">
        <v>37</v>
      </c>
      <c r="D127" s="2" t="str">
        <f t="shared" si="6"/>
        <v>NV108</v>
      </c>
      <c r="E127" s="2" t="s">
        <v>0</v>
      </c>
      <c r="F127" s="2" t="str">
        <f t="shared" si="7"/>
        <v>NV10843781RaChiều</v>
      </c>
      <c r="G127" s="52" t="str">
        <f t="shared" si="8"/>
        <v>17:40:07</v>
      </c>
      <c r="H127" s="53" t="str">
        <f t="shared" si="9"/>
        <v>Ra</v>
      </c>
      <c r="I127" s="53" t="str">
        <f t="shared" si="10"/>
        <v>Chiều</v>
      </c>
      <c r="J127" s="53" t="s">
        <v>37</v>
      </c>
      <c r="K127" s="53" t="s">
        <v>103</v>
      </c>
      <c r="L127" s="54">
        <f t="shared" si="11"/>
        <v>43781</v>
      </c>
      <c r="M127" s="54"/>
    </row>
    <row r="128" spans="1:13" s="47" customFormat="1" ht="13.8" x14ac:dyDescent="0.3">
      <c r="A128" s="1" t="s">
        <v>40</v>
      </c>
      <c r="B128" s="3">
        <v>43781.337812500002</v>
      </c>
      <c r="C128" s="2" t="s">
        <v>37</v>
      </c>
      <c r="D128" s="2" t="str">
        <f t="shared" si="6"/>
        <v>NV108</v>
      </c>
      <c r="E128" s="2" t="s">
        <v>0</v>
      </c>
      <c r="F128" s="2" t="str">
        <f t="shared" si="7"/>
        <v>NV10843781VàoSáng</v>
      </c>
      <c r="G128" s="52" t="str">
        <f t="shared" si="8"/>
        <v>08:06:27</v>
      </c>
      <c r="H128" s="53" t="str">
        <f t="shared" si="9"/>
        <v>Vào</v>
      </c>
      <c r="I128" s="53" t="str">
        <f t="shared" si="10"/>
        <v>Sáng</v>
      </c>
      <c r="J128" s="53" t="s">
        <v>39</v>
      </c>
      <c r="K128" s="53" t="s">
        <v>102</v>
      </c>
      <c r="L128" s="54">
        <f t="shared" si="11"/>
        <v>43781</v>
      </c>
      <c r="M128" s="54"/>
    </row>
    <row r="129" spans="1:13" s="47" customFormat="1" ht="13.8" x14ac:dyDescent="0.3">
      <c r="A129" s="1" t="s">
        <v>40</v>
      </c>
      <c r="B129" s="3">
        <v>43780.735000000001</v>
      </c>
      <c r="C129" s="2" t="s">
        <v>37</v>
      </c>
      <c r="D129" s="2" t="str">
        <f t="shared" si="6"/>
        <v>NV108</v>
      </c>
      <c r="E129" s="2" t="s">
        <v>0</v>
      </c>
      <c r="F129" s="2" t="str">
        <f t="shared" si="7"/>
        <v>NV10843780RaChiều</v>
      </c>
      <c r="G129" s="52" t="str">
        <f t="shared" si="8"/>
        <v>17:38:24</v>
      </c>
      <c r="H129" s="53" t="str">
        <f t="shared" si="9"/>
        <v>Ra</v>
      </c>
      <c r="I129" s="53" t="str">
        <f t="shared" si="10"/>
        <v>Chiều</v>
      </c>
      <c r="J129" s="53" t="s">
        <v>37</v>
      </c>
      <c r="K129" s="53" t="s">
        <v>103</v>
      </c>
      <c r="L129" s="54">
        <f t="shared" si="11"/>
        <v>43780</v>
      </c>
      <c r="M129" s="54"/>
    </row>
    <row r="130" spans="1:13" s="47" customFormat="1" ht="13.8" x14ac:dyDescent="0.3">
      <c r="A130" s="1" t="s">
        <v>40</v>
      </c>
      <c r="B130" s="3">
        <v>43780.73164351852</v>
      </c>
      <c r="C130" s="2" t="s">
        <v>37</v>
      </c>
      <c r="D130" s="2" t="str">
        <f t="shared" si="6"/>
        <v>NV108</v>
      </c>
      <c r="E130" s="2" t="s">
        <v>0</v>
      </c>
      <c r="F130" s="2" t="str">
        <f t="shared" si="7"/>
        <v>NV10843780RaChiều</v>
      </c>
      <c r="G130" s="52" t="str">
        <f t="shared" si="8"/>
        <v>17:33:34</v>
      </c>
      <c r="H130" s="53" t="str">
        <f t="shared" si="9"/>
        <v>Ra</v>
      </c>
      <c r="I130" s="53" t="str">
        <f t="shared" si="10"/>
        <v>Chiều</v>
      </c>
      <c r="J130" s="53" t="s">
        <v>37</v>
      </c>
      <c r="K130" s="53" t="s">
        <v>103</v>
      </c>
      <c r="L130" s="54">
        <f t="shared" si="11"/>
        <v>43780</v>
      </c>
      <c r="M130" s="54"/>
    </row>
    <row r="131" spans="1:13" s="47" customFormat="1" ht="13.8" x14ac:dyDescent="0.3">
      <c r="A131" s="1" t="s">
        <v>40</v>
      </c>
      <c r="B131" s="3">
        <v>43780.337916666664</v>
      </c>
      <c r="C131" s="2" t="s">
        <v>37</v>
      </c>
      <c r="D131" s="2" t="str">
        <f t="shared" si="6"/>
        <v>NV108</v>
      </c>
      <c r="E131" s="2" t="s">
        <v>0</v>
      </c>
      <c r="F131" s="2" t="str">
        <f t="shared" si="7"/>
        <v>NV10843780VàoSáng</v>
      </c>
      <c r="G131" s="52" t="str">
        <f t="shared" si="8"/>
        <v>08:06:36</v>
      </c>
      <c r="H131" s="53" t="str">
        <f t="shared" si="9"/>
        <v>Vào</v>
      </c>
      <c r="I131" s="53" t="str">
        <f t="shared" si="10"/>
        <v>Sáng</v>
      </c>
      <c r="J131" s="53" t="s">
        <v>39</v>
      </c>
      <c r="K131" s="53" t="s">
        <v>102</v>
      </c>
      <c r="L131" s="54">
        <f t="shared" si="11"/>
        <v>43780</v>
      </c>
      <c r="M131" s="54"/>
    </row>
    <row r="132" spans="1:13" s="47" customFormat="1" ht="13.8" x14ac:dyDescent="0.3">
      <c r="A132" s="1" t="s">
        <v>40</v>
      </c>
      <c r="B132" s="3">
        <v>43778.73269675926</v>
      </c>
      <c r="C132" s="2" t="s">
        <v>37</v>
      </c>
      <c r="D132" s="2" t="str">
        <f t="shared" si="6"/>
        <v>NV108</v>
      </c>
      <c r="E132" s="2" t="s">
        <v>0</v>
      </c>
      <c r="F132" s="2" t="str">
        <f t="shared" si="7"/>
        <v>NV10843778RaChiều</v>
      </c>
      <c r="G132" s="52" t="str">
        <f t="shared" si="8"/>
        <v>17:35:05</v>
      </c>
      <c r="H132" s="53" t="str">
        <f t="shared" si="9"/>
        <v>Ra</v>
      </c>
      <c r="I132" s="53" t="str">
        <f t="shared" si="10"/>
        <v>Chiều</v>
      </c>
      <c r="J132" s="53" t="s">
        <v>37</v>
      </c>
      <c r="K132" s="53" t="s">
        <v>103</v>
      </c>
      <c r="L132" s="54">
        <f t="shared" si="11"/>
        <v>43778</v>
      </c>
      <c r="M132" s="54"/>
    </row>
    <row r="133" spans="1:13" s="47" customFormat="1" ht="13.8" x14ac:dyDescent="0.3">
      <c r="A133" s="1" t="s">
        <v>40</v>
      </c>
      <c r="B133" s="3">
        <v>43778.730578703704</v>
      </c>
      <c r="C133" s="2" t="s">
        <v>37</v>
      </c>
      <c r="D133" s="2" t="str">
        <f t="shared" si="6"/>
        <v>NV108</v>
      </c>
      <c r="E133" s="2" t="s">
        <v>0</v>
      </c>
      <c r="F133" s="2" t="str">
        <f t="shared" si="7"/>
        <v>NV10843778RaChiều</v>
      </c>
      <c r="G133" s="52" t="str">
        <f t="shared" si="8"/>
        <v>17:32:02</v>
      </c>
      <c r="H133" s="53" t="str">
        <f t="shared" si="9"/>
        <v>Ra</v>
      </c>
      <c r="I133" s="53" t="str">
        <f t="shared" si="10"/>
        <v>Chiều</v>
      </c>
      <c r="J133" s="53" t="s">
        <v>37</v>
      </c>
      <c r="K133" s="53" t="s">
        <v>103</v>
      </c>
      <c r="L133" s="54">
        <f t="shared" si="11"/>
        <v>43778</v>
      </c>
      <c r="M133" s="54"/>
    </row>
    <row r="134" spans="1:13" s="47" customFormat="1" ht="13.8" x14ac:dyDescent="0.3">
      <c r="A134" s="1" t="s">
        <v>40</v>
      </c>
      <c r="B134" s="3">
        <v>43778.332407407404</v>
      </c>
      <c r="C134" s="2" t="s">
        <v>37</v>
      </c>
      <c r="D134" s="2" t="str">
        <f t="shared" ref="D134:D197" si="12">"NV"&amp;A134</f>
        <v>NV108</v>
      </c>
      <c r="E134" s="2" t="s">
        <v>0</v>
      </c>
      <c r="F134" s="2" t="str">
        <f t="shared" ref="F134:F197" si="13">D134&amp;L134&amp;J134&amp;K134</f>
        <v>NV10843778VàoSáng</v>
      </c>
      <c r="G134" s="52" t="str">
        <f t="shared" si="8"/>
        <v>07:58:40</v>
      </c>
      <c r="H134" s="53" t="str">
        <f t="shared" si="9"/>
        <v>Vào</v>
      </c>
      <c r="I134" s="53" t="str">
        <f t="shared" si="10"/>
        <v>Sáng</v>
      </c>
      <c r="J134" s="53" t="s">
        <v>39</v>
      </c>
      <c r="K134" s="53" t="s">
        <v>102</v>
      </c>
      <c r="L134" s="54">
        <f t="shared" si="11"/>
        <v>43778</v>
      </c>
      <c r="M134" s="54"/>
    </row>
    <row r="135" spans="1:13" s="47" customFormat="1" ht="13.8" x14ac:dyDescent="0.3">
      <c r="A135" s="1" t="s">
        <v>40</v>
      </c>
      <c r="B135" s="3">
        <v>43777.698032407403</v>
      </c>
      <c r="C135" s="2" t="s">
        <v>37</v>
      </c>
      <c r="D135" s="2" t="str">
        <f t="shared" si="12"/>
        <v>NV108</v>
      </c>
      <c r="E135" s="2" t="s">
        <v>0</v>
      </c>
      <c r="F135" s="2" t="str">
        <f t="shared" si="13"/>
        <v>NV10843777RaChiều</v>
      </c>
      <c r="G135" s="52" t="str">
        <f t="shared" ref="G135:G198" si="14">TEXT(TIME(HOUR(B135),MINUTE(B135),SECOND(B135)),"hh:mm:ss")</f>
        <v>16:45:10</v>
      </c>
      <c r="H135" s="53" t="str">
        <f t="shared" ref="H135:H198" si="15">IF(AND(I135="Sáng",G135&lt;"11:00:00",G135&gt;="07:00:00"),"Vào",
IF(AND(I135="Sáng",G135&lt;"13:00:00",G135&gt;="11:00:00"),"Ra",
IF(AND(I135="Chiều",G135&lt;"16:00:00",G135&gt;="13:00:00"),"Vào",
IF(AND(I135="Chiều",G135&lt;"20:00:00",G135&gt;="16:00:00"),"Ra"))))</f>
        <v>Ra</v>
      </c>
      <c r="I135" s="53" t="str">
        <f t="shared" ref="I135:I198" si="16">IF(G135&lt;="12:30:00","Sáng","Chiều")</f>
        <v>Chiều</v>
      </c>
      <c r="J135" s="53" t="s">
        <v>37</v>
      </c>
      <c r="K135" s="53" t="s">
        <v>103</v>
      </c>
      <c r="L135" s="54">
        <f t="shared" ref="L135:L198" si="17">DATE(YEAR(B135),MONTH(B135),DAY(B135))</f>
        <v>43777</v>
      </c>
      <c r="M135" s="54"/>
    </row>
    <row r="136" spans="1:13" s="47" customFormat="1" ht="13.8" x14ac:dyDescent="0.3">
      <c r="A136" s="1" t="s">
        <v>40</v>
      </c>
      <c r="B136" s="3">
        <v>43777.340810185182</v>
      </c>
      <c r="C136" s="2" t="s">
        <v>37</v>
      </c>
      <c r="D136" s="2" t="str">
        <f t="shared" si="12"/>
        <v>NV108</v>
      </c>
      <c r="E136" s="2" t="s">
        <v>0</v>
      </c>
      <c r="F136" s="2" t="str">
        <f t="shared" si="13"/>
        <v>NV10843777VàoSáng</v>
      </c>
      <c r="G136" s="52" t="str">
        <f t="shared" si="14"/>
        <v>08:10:46</v>
      </c>
      <c r="H136" s="53" t="str">
        <f t="shared" si="15"/>
        <v>Vào</v>
      </c>
      <c r="I136" s="53" t="str">
        <f t="shared" si="16"/>
        <v>Sáng</v>
      </c>
      <c r="J136" s="53" t="s">
        <v>39</v>
      </c>
      <c r="K136" s="53" t="s">
        <v>102</v>
      </c>
      <c r="L136" s="54">
        <f t="shared" si="17"/>
        <v>43777</v>
      </c>
      <c r="M136" s="54"/>
    </row>
    <row r="137" spans="1:13" s="47" customFormat="1" ht="13.8" x14ac:dyDescent="0.3">
      <c r="A137" s="1" t="s">
        <v>40</v>
      </c>
      <c r="B137" s="3">
        <v>43776.736944444441</v>
      </c>
      <c r="C137" s="2" t="s">
        <v>37</v>
      </c>
      <c r="D137" s="2" t="str">
        <f t="shared" si="12"/>
        <v>NV108</v>
      </c>
      <c r="E137" s="2" t="s">
        <v>0</v>
      </c>
      <c r="F137" s="2" t="str">
        <f t="shared" si="13"/>
        <v>NV10843776RaChiều</v>
      </c>
      <c r="G137" s="52" t="str">
        <f t="shared" si="14"/>
        <v>17:41:12</v>
      </c>
      <c r="H137" s="53" t="str">
        <f t="shared" si="15"/>
        <v>Ra</v>
      </c>
      <c r="I137" s="53" t="str">
        <f t="shared" si="16"/>
        <v>Chiều</v>
      </c>
      <c r="J137" s="53" t="s">
        <v>37</v>
      </c>
      <c r="K137" s="53" t="s">
        <v>103</v>
      </c>
      <c r="L137" s="54">
        <f t="shared" si="17"/>
        <v>43776</v>
      </c>
      <c r="M137" s="54"/>
    </row>
    <row r="138" spans="1:13" s="47" customFormat="1" ht="13.8" x14ac:dyDescent="0.3">
      <c r="A138" s="1" t="s">
        <v>40</v>
      </c>
      <c r="B138" s="3">
        <v>43776.337048611109</v>
      </c>
      <c r="C138" s="2" t="s">
        <v>37</v>
      </c>
      <c r="D138" s="2" t="str">
        <f t="shared" si="12"/>
        <v>NV108</v>
      </c>
      <c r="E138" s="2" t="s">
        <v>0</v>
      </c>
      <c r="F138" s="2" t="str">
        <f t="shared" si="13"/>
        <v>NV10843776VàoSáng</v>
      </c>
      <c r="G138" s="52" t="str">
        <f t="shared" si="14"/>
        <v>08:05:21</v>
      </c>
      <c r="H138" s="53" t="str">
        <f t="shared" si="15"/>
        <v>Vào</v>
      </c>
      <c r="I138" s="53" t="str">
        <f t="shared" si="16"/>
        <v>Sáng</v>
      </c>
      <c r="J138" s="53" t="s">
        <v>39</v>
      </c>
      <c r="K138" s="53" t="s">
        <v>102</v>
      </c>
      <c r="L138" s="54">
        <f t="shared" si="17"/>
        <v>43776</v>
      </c>
      <c r="M138" s="54"/>
    </row>
    <row r="139" spans="1:13" s="47" customFormat="1" ht="13.8" x14ac:dyDescent="0.3">
      <c r="A139" s="1" t="s">
        <v>40</v>
      </c>
      <c r="B139" s="3">
        <v>43775.73296296296</v>
      </c>
      <c r="C139" s="2" t="s">
        <v>37</v>
      </c>
      <c r="D139" s="2" t="str">
        <f t="shared" si="12"/>
        <v>NV108</v>
      </c>
      <c r="E139" s="2" t="s">
        <v>0</v>
      </c>
      <c r="F139" s="2" t="str">
        <f t="shared" si="13"/>
        <v>NV10843775RaChiều</v>
      </c>
      <c r="G139" s="52" t="str">
        <f t="shared" si="14"/>
        <v>17:35:28</v>
      </c>
      <c r="H139" s="53" t="str">
        <f t="shared" si="15"/>
        <v>Ra</v>
      </c>
      <c r="I139" s="53" t="str">
        <f t="shared" si="16"/>
        <v>Chiều</v>
      </c>
      <c r="J139" s="53" t="s">
        <v>37</v>
      </c>
      <c r="K139" s="53" t="s">
        <v>103</v>
      </c>
      <c r="L139" s="54">
        <f t="shared" si="17"/>
        <v>43775</v>
      </c>
      <c r="M139" s="54"/>
    </row>
    <row r="140" spans="1:13" s="47" customFormat="1" ht="13.8" x14ac:dyDescent="0.3">
      <c r="A140" s="1" t="s">
        <v>40</v>
      </c>
      <c r="B140" s="3">
        <v>43775.32677083333</v>
      </c>
      <c r="C140" s="2" t="s">
        <v>37</v>
      </c>
      <c r="D140" s="2" t="str">
        <f t="shared" si="12"/>
        <v>NV108</v>
      </c>
      <c r="E140" s="2" t="s">
        <v>0</v>
      </c>
      <c r="F140" s="2" t="str">
        <f t="shared" si="13"/>
        <v>NV10843775VàoSáng</v>
      </c>
      <c r="G140" s="52" t="str">
        <f t="shared" si="14"/>
        <v>07:50:33</v>
      </c>
      <c r="H140" s="53" t="str">
        <f t="shared" si="15"/>
        <v>Vào</v>
      </c>
      <c r="I140" s="53" t="str">
        <f t="shared" si="16"/>
        <v>Sáng</v>
      </c>
      <c r="J140" s="53" t="s">
        <v>39</v>
      </c>
      <c r="K140" s="53" t="s">
        <v>102</v>
      </c>
      <c r="L140" s="54">
        <f t="shared" si="17"/>
        <v>43775</v>
      </c>
      <c r="M140" s="54"/>
    </row>
    <row r="141" spans="1:13" s="47" customFormat="1" ht="13.8" x14ac:dyDescent="0.3">
      <c r="A141" s="1" t="s">
        <v>40</v>
      </c>
      <c r="B141" s="3">
        <v>43773.688229166662</v>
      </c>
      <c r="C141" s="2" t="s">
        <v>37</v>
      </c>
      <c r="D141" s="2" t="str">
        <f t="shared" si="12"/>
        <v>NV108</v>
      </c>
      <c r="E141" s="2" t="s">
        <v>0</v>
      </c>
      <c r="F141" s="2" t="str">
        <f t="shared" si="13"/>
        <v>NV10843773RaChiều</v>
      </c>
      <c r="G141" s="52" t="str">
        <f t="shared" si="14"/>
        <v>16:31:03</v>
      </c>
      <c r="H141" s="53" t="str">
        <f t="shared" si="15"/>
        <v>Ra</v>
      </c>
      <c r="I141" s="53" t="str">
        <f t="shared" si="16"/>
        <v>Chiều</v>
      </c>
      <c r="J141" s="53" t="s">
        <v>37</v>
      </c>
      <c r="K141" s="53" t="s">
        <v>103</v>
      </c>
      <c r="L141" s="54">
        <f t="shared" si="17"/>
        <v>43773</v>
      </c>
      <c r="M141" s="54"/>
    </row>
    <row r="142" spans="1:13" s="47" customFormat="1" ht="13.8" x14ac:dyDescent="0.3">
      <c r="A142" s="1" t="s">
        <v>40</v>
      </c>
      <c r="B142" s="3">
        <v>43773.332372685181</v>
      </c>
      <c r="C142" s="2" t="s">
        <v>37</v>
      </c>
      <c r="D142" s="2" t="str">
        <f t="shared" si="12"/>
        <v>NV108</v>
      </c>
      <c r="E142" s="2" t="s">
        <v>0</v>
      </c>
      <c r="F142" s="2" t="str">
        <f t="shared" si="13"/>
        <v>NV10843773VàoSáng</v>
      </c>
      <c r="G142" s="52" t="str">
        <f t="shared" si="14"/>
        <v>07:58:37</v>
      </c>
      <c r="H142" s="53" t="str">
        <f t="shared" si="15"/>
        <v>Vào</v>
      </c>
      <c r="I142" s="53" t="str">
        <f t="shared" si="16"/>
        <v>Sáng</v>
      </c>
      <c r="J142" s="53" t="s">
        <v>39</v>
      </c>
      <c r="K142" s="53" t="s">
        <v>102</v>
      </c>
      <c r="L142" s="54">
        <f t="shared" si="17"/>
        <v>43773</v>
      </c>
      <c r="M142" s="54"/>
    </row>
    <row r="143" spans="1:13" s="47" customFormat="1" ht="13.8" x14ac:dyDescent="0.3">
      <c r="A143" s="1" t="s">
        <v>40</v>
      </c>
      <c r="B143" s="3">
        <v>43771.73542824074</v>
      </c>
      <c r="C143" s="2" t="s">
        <v>37</v>
      </c>
      <c r="D143" s="2" t="str">
        <f t="shared" si="12"/>
        <v>NV108</v>
      </c>
      <c r="E143" s="2" t="s">
        <v>0</v>
      </c>
      <c r="F143" s="2" t="str">
        <f t="shared" si="13"/>
        <v>NV10843771RaChiều</v>
      </c>
      <c r="G143" s="52" t="str">
        <f t="shared" si="14"/>
        <v>17:39:01</v>
      </c>
      <c r="H143" s="53" t="str">
        <f t="shared" si="15"/>
        <v>Ra</v>
      </c>
      <c r="I143" s="53" t="str">
        <f t="shared" si="16"/>
        <v>Chiều</v>
      </c>
      <c r="J143" s="53" t="s">
        <v>37</v>
      </c>
      <c r="K143" s="53" t="s">
        <v>103</v>
      </c>
      <c r="L143" s="54">
        <f t="shared" si="17"/>
        <v>43771</v>
      </c>
      <c r="M143" s="54"/>
    </row>
    <row r="144" spans="1:13" s="47" customFormat="1" ht="13.8" x14ac:dyDescent="0.3">
      <c r="A144" s="1" t="s">
        <v>40</v>
      </c>
      <c r="B144" s="3">
        <v>43771.33253472222</v>
      </c>
      <c r="C144" s="2" t="s">
        <v>37</v>
      </c>
      <c r="D144" s="2" t="str">
        <f t="shared" si="12"/>
        <v>NV108</v>
      </c>
      <c r="E144" s="2" t="s">
        <v>0</v>
      </c>
      <c r="F144" s="2" t="str">
        <f t="shared" si="13"/>
        <v>NV10843771VàoSáng</v>
      </c>
      <c r="G144" s="52" t="str">
        <f t="shared" si="14"/>
        <v>07:58:51</v>
      </c>
      <c r="H144" s="53" t="str">
        <f t="shared" si="15"/>
        <v>Vào</v>
      </c>
      <c r="I144" s="53" t="str">
        <f t="shared" si="16"/>
        <v>Sáng</v>
      </c>
      <c r="J144" s="53" t="s">
        <v>39</v>
      </c>
      <c r="K144" s="53" t="s">
        <v>102</v>
      </c>
      <c r="L144" s="54">
        <f t="shared" si="17"/>
        <v>43771</v>
      </c>
      <c r="M144" s="54"/>
    </row>
    <row r="145" spans="1:13" s="47" customFormat="1" ht="13.8" x14ac:dyDescent="0.3">
      <c r="A145" s="1" t="s">
        <v>40</v>
      </c>
      <c r="B145" s="3">
        <v>43770.735289351847</v>
      </c>
      <c r="C145" s="2" t="s">
        <v>37</v>
      </c>
      <c r="D145" s="2" t="str">
        <f t="shared" si="12"/>
        <v>NV108</v>
      </c>
      <c r="E145" s="2" t="s">
        <v>0</v>
      </c>
      <c r="F145" s="2" t="str">
        <f t="shared" si="13"/>
        <v>NV10843770RaChiều</v>
      </c>
      <c r="G145" s="52" t="str">
        <f t="shared" si="14"/>
        <v>17:38:49</v>
      </c>
      <c r="H145" s="53" t="str">
        <f t="shared" si="15"/>
        <v>Ra</v>
      </c>
      <c r="I145" s="53" t="str">
        <f t="shared" si="16"/>
        <v>Chiều</v>
      </c>
      <c r="J145" s="53" t="s">
        <v>37</v>
      </c>
      <c r="K145" s="53" t="s">
        <v>103</v>
      </c>
      <c r="L145" s="54">
        <f t="shared" si="17"/>
        <v>43770</v>
      </c>
      <c r="M145" s="54"/>
    </row>
    <row r="146" spans="1:13" s="47" customFormat="1" ht="13.8" x14ac:dyDescent="0.3">
      <c r="A146" s="1" t="s">
        <v>40</v>
      </c>
      <c r="B146" s="3">
        <v>43770.341851851852</v>
      </c>
      <c r="C146" s="2" t="s">
        <v>37</v>
      </c>
      <c r="D146" s="2" t="str">
        <f t="shared" si="12"/>
        <v>NV108</v>
      </c>
      <c r="E146" s="2" t="s">
        <v>0</v>
      </c>
      <c r="F146" s="2" t="str">
        <f t="shared" si="13"/>
        <v>NV10843770VàoSáng</v>
      </c>
      <c r="G146" s="52" t="str">
        <f t="shared" si="14"/>
        <v>08:12:16</v>
      </c>
      <c r="H146" s="53" t="str">
        <f t="shared" si="15"/>
        <v>Vào</v>
      </c>
      <c r="I146" s="53" t="str">
        <f t="shared" si="16"/>
        <v>Sáng</v>
      </c>
      <c r="J146" s="53" t="s">
        <v>39</v>
      </c>
      <c r="K146" s="53" t="s">
        <v>102</v>
      </c>
      <c r="L146" s="54">
        <f t="shared" si="17"/>
        <v>43770</v>
      </c>
      <c r="M146" s="54"/>
    </row>
    <row r="147" spans="1:13" s="47" customFormat="1" ht="13.8" x14ac:dyDescent="0.3">
      <c r="A147" s="1" t="s">
        <v>41</v>
      </c>
      <c r="B147" s="3">
        <v>43799.732060185182</v>
      </c>
      <c r="C147" s="2" t="s">
        <v>37</v>
      </c>
      <c r="D147" s="2" t="str">
        <f t="shared" si="12"/>
        <v>NV109</v>
      </c>
      <c r="E147" s="2" t="s">
        <v>0</v>
      </c>
      <c r="F147" s="2" t="str">
        <f t="shared" si="13"/>
        <v>NV10943799RaChiều</v>
      </c>
      <c r="G147" s="52" t="str">
        <f t="shared" si="14"/>
        <v>17:34:10</v>
      </c>
      <c r="H147" s="53" t="str">
        <f t="shared" si="15"/>
        <v>Ra</v>
      </c>
      <c r="I147" s="53" t="str">
        <f t="shared" si="16"/>
        <v>Chiều</v>
      </c>
      <c r="J147" s="53" t="s">
        <v>37</v>
      </c>
      <c r="K147" s="53" t="s">
        <v>103</v>
      </c>
      <c r="L147" s="54">
        <f t="shared" si="17"/>
        <v>43799</v>
      </c>
      <c r="M147" s="54"/>
    </row>
    <row r="148" spans="1:13" s="47" customFormat="1" ht="13.8" x14ac:dyDescent="0.3">
      <c r="A148" s="1" t="s">
        <v>41</v>
      </c>
      <c r="B148" s="3">
        <v>43799.332430555551</v>
      </c>
      <c r="C148" s="2" t="s">
        <v>37</v>
      </c>
      <c r="D148" s="2" t="str">
        <f t="shared" si="12"/>
        <v>NV109</v>
      </c>
      <c r="E148" s="2" t="s">
        <v>0</v>
      </c>
      <c r="F148" s="2" t="str">
        <f t="shared" si="13"/>
        <v>NV10943799VàoSáng</v>
      </c>
      <c r="G148" s="52" t="str">
        <f t="shared" si="14"/>
        <v>07:58:42</v>
      </c>
      <c r="H148" s="53" t="str">
        <f t="shared" si="15"/>
        <v>Vào</v>
      </c>
      <c r="I148" s="53" t="str">
        <f t="shared" si="16"/>
        <v>Sáng</v>
      </c>
      <c r="J148" s="53" t="s">
        <v>39</v>
      </c>
      <c r="K148" s="53" t="s">
        <v>102</v>
      </c>
      <c r="L148" s="54">
        <f t="shared" si="17"/>
        <v>43799</v>
      </c>
      <c r="M148" s="54"/>
    </row>
    <row r="149" spans="1:13" s="47" customFormat="1" ht="13.8" x14ac:dyDescent="0.3">
      <c r="A149" s="1" t="s">
        <v>41</v>
      </c>
      <c r="B149" s="3">
        <v>43798.732951388884</v>
      </c>
      <c r="C149" s="2" t="s">
        <v>37</v>
      </c>
      <c r="D149" s="2" t="str">
        <f t="shared" si="12"/>
        <v>NV109</v>
      </c>
      <c r="E149" s="2" t="s">
        <v>0</v>
      </c>
      <c r="F149" s="2" t="str">
        <f t="shared" si="13"/>
        <v>NV10943798RaChiều</v>
      </c>
      <c r="G149" s="52" t="str">
        <f t="shared" si="14"/>
        <v>17:35:27</v>
      </c>
      <c r="H149" s="53" t="str">
        <f t="shared" si="15"/>
        <v>Ra</v>
      </c>
      <c r="I149" s="53" t="str">
        <f t="shared" si="16"/>
        <v>Chiều</v>
      </c>
      <c r="J149" s="53" t="s">
        <v>37</v>
      </c>
      <c r="K149" s="53" t="s">
        <v>103</v>
      </c>
      <c r="L149" s="54">
        <f t="shared" si="17"/>
        <v>43798</v>
      </c>
      <c r="M149" s="54"/>
    </row>
    <row r="150" spans="1:13" s="47" customFormat="1" ht="13.8" x14ac:dyDescent="0.3">
      <c r="A150" s="1" t="s">
        <v>41</v>
      </c>
      <c r="B150" s="3">
        <v>43798.326041666667</v>
      </c>
      <c r="C150" s="2" t="s">
        <v>37</v>
      </c>
      <c r="D150" s="2" t="str">
        <f t="shared" si="12"/>
        <v>NV109</v>
      </c>
      <c r="E150" s="2" t="s">
        <v>0</v>
      </c>
      <c r="F150" s="2" t="str">
        <f t="shared" si="13"/>
        <v>NV10943798VàoSáng</v>
      </c>
      <c r="G150" s="52" t="str">
        <f t="shared" si="14"/>
        <v>07:49:30</v>
      </c>
      <c r="H150" s="53" t="str">
        <f t="shared" si="15"/>
        <v>Vào</v>
      </c>
      <c r="I150" s="53" t="str">
        <f t="shared" si="16"/>
        <v>Sáng</v>
      </c>
      <c r="J150" s="53" t="s">
        <v>39</v>
      </c>
      <c r="K150" s="53" t="s">
        <v>102</v>
      </c>
      <c r="L150" s="54">
        <f t="shared" si="17"/>
        <v>43798</v>
      </c>
      <c r="M150" s="54"/>
    </row>
    <row r="151" spans="1:13" s="47" customFormat="1" ht="13.8" x14ac:dyDescent="0.3">
      <c r="A151" s="1" t="s">
        <v>41</v>
      </c>
      <c r="B151" s="3">
        <v>43797.729675925926</v>
      </c>
      <c r="C151" s="2" t="s">
        <v>37</v>
      </c>
      <c r="D151" s="2" t="str">
        <f t="shared" si="12"/>
        <v>NV109</v>
      </c>
      <c r="E151" s="2" t="s">
        <v>0</v>
      </c>
      <c r="F151" s="2" t="str">
        <f t="shared" si="13"/>
        <v>NV10943797RaChiều</v>
      </c>
      <c r="G151" s="52" t="str">
        <f t="shared" si="14"/>
        <v>17:30:44</v>
      </c>
      <c r="H151" s="53" t="str">
        <f t="shared" si="15"/>
        <v>Ra</v>
      </c>
      <c r="I151" s="53" t="str">
        <f t="shared" si="16"/>
        <v>Chiều</v>
      </c>
      <c r="J151" s="53" t="s">
        <v>37</v>
      </c>
      <c r="K151" s="53" t="s">
        <v>103</v>
      </c>
      <c r="L151" s="54">
        <f t="shared" si="17"/>
        <v>43797</v>
      </c>
      <c r="M151" s="54"/>
    </row>
    <row r="152" spans="1:13" s="47" customFormat="1" ht="13.8" x14ac:dyDescent="0.3">
      <c r="A152" s="1" t="s">
        <v>41</v>
      </c>
      <c r="B152" s="3">
        <v>43797.326412037037</v>
      </c>
      <c r="C152" s="2" t="s">
        <v>37</v>
      </c>
      <c r="D152" s="2" t="str">
        <f t="shared" si="12"/>
        <v>NV109</v>
      </c>
      <c r="E152" s="2" t="s">
        <v>0</v>
      </c>
      <c r="F152" s="2" t="str">
        <f t="shared" si="13"/>
        <v>NV10943797VàoSáng</v>
      </c>
      <c r="G152" s="52" t="str">
        <f t="shared" si="14"/>
        <v>07:50:02</v>
      </c>
      <c r="H152" s="53" t="str">
        <f t="shared" si="15"/>
        <v>Vào</v>
      </c>
      <c r="I152" s="53" t="str">
        <f t="shared" si="16"/>
        <v>Sáng</v>
      </c>
      <c r="J152" s="53" t="s">
        <v>39</v>
      </c>
      <c r="K152" s="53" t="s">
        <v>102</v>
      </c>
      <c r="L152" s="54">
        <f t="shared" si="17"/>
        <v>43797</v>
      </c>
      <c r="M152" s="54"/>
    </row>
    <row r="153" spans="1:13" s="47" customFormat="1" ht="13.8" x14ac:dyDescent="0.3">
      <c r="A153" s="1" t="s">
        <v>41</v>
      </c>
      <c r="B153" s="3">
        <v>43796.730856481481</v>
      </c>
      <c r="C153" s="2" t="s">
        <v>37</v>
      </c>
      <c r="D153" s="2" t="str">
        <f t="shared" si="12"/>
        <v>NV109</v>
      </c>
      <c r="E153" s="2" t="s">
        <v>0</v>
      </c>
      <c r="F153" s="2" t="str">
        <f t="shared" si="13"/>
        <v>NV10943796RaChiều</v>
      </c>
      <c r="G153" s="52" t="str">
        <f t="shared" si="14"/>
        <v>17:32:26</v>
      </c>
      <c r="H153" s="53" t="str">
        <f t="shared" si="15"/>
        <v>Ra</v>
      </c>
      <c r="I153" s="53" t="str">
        <f t="shared" si="16"/>
        <v>Chiều</v>
      </c>
      <c r="J153" s="53" t="s">
        <v>37</v>
      </c>
      <c r="K153" s="53" t="s">
        <v>103</v>
      </c>
      <c r="L153" s="54">
        <f t="shared" si="17"/>
        <v>43796</v>
      </c>
      <c r="M153" s="54"/>
    </row>
    <row r="154" spans="1:13" s="47" customFormat="1" ht="13.8" x14ac:dyDescent="0.3">
      <c r="A154" s="1" t="s">
        <v>41</v>
      </c>
      <c r="B154" s="3">
        <v>43796.331643518519</v>
      </c>
      <c r="C154" s="2" t="s">
        <v>37</v>
      </c>
      <c r="D154" s="2" t="str">
        <f t="shared" si="12"/>
        <v>NV109</v>
      </c>
      <c r="E154" s="2" t="s">
        <v>0</v>
      </c>
      <c r="F154" s="2" t="str">
        <f t="shared" si="13"/>
        <v>NV10943796VàoSáng</v>
      </c>
      <c r="G154" s="52" t="str">
        <f t="shared" si="14"/>
        <v>07:57:34</v>
      </c>
      <c r="H154" s="53" t="str">
        <f t="shared" si="15"/>
        <v>Vào</v>
      </c>
      <c r="I154" s="53" t="str">
        <f t="shared" si="16"/>
        <v>Sáng</v>
      </c>
      <c r="J154" s="53" t="s">
        <v>39</v>
      </c>
      <c r="K154" s="53" t="s">
        <v>102</v>
      </c>
      <c r="L154" s="54">
        <f t="shared" si="17"/>
        <v>43796</v>
      </c>
      <c r="M154" s="54"/>
    </row>
    <row r="155" spans="1:13" s="47" customFormat="1" ht="13.8" x14ac:dyDescent="0.3">
      <c r="A155" s="1" t="s">
        <v>41</v>
      </c>
      <c r="B155" s="3">
        <v>43795.738321759258</v>
      </c>
      <c r="C155" s="2" t="s">
        <v>37</v>
      </c>
      <c r="D155" s="2" t="str">
        <f t="shared" si="12"/>
        <v>NV109</v>
      </c>
      <c r="E155" s="2" t="s">
        <v>0</v>
      </c>
      <c r="F155" s="2" t="str">
        <f t="shared" si="13"/>
        <v>NV10943795RaChiều</v>
      </c>
      <c r="G155" s="52" t="str">
        <f t="shared" si="14"/>
        <v>17:43:11</v>
      </c>
      <c r="H155" s="53" t="str">
        <f t="shared" si="15"/>
        <v>Ra</v>
      </c>
      <c r="I155" s="53" t="str">
        <f t="shared" si="16"/>
        <v>Chiều</v>
      </c>
      <c r="J155" s="53" t="s">
        <v>37</v>
      </c>
      <c r="K155" s="53" t="s">
        <v>103</v>
      </c>
      <c r="L155" s="54">
        <f t="shared" si="17"/>
        <v>43795</v>
      </c>
      <c r="M155" s="54"/>
    </row>
    <row r="156" spans="1:13" s="47" customFormat="1" ht="13.8" x14ac:dyDescent="0.3">
      <c r="A156" s="1" t="s">
        <v>41</v>
      </c>
      <c r="B156" s="3">
        <v>43795.328020833331</v>
      </c>
      <c r="C156" s="2" t="s">
        <v>37</v>
      </c>
      <c r="D156" s="2" t="str">
        <f t="shared" si="12"/>
        <v>NV109</v>
      </c>
      <c r="E156" s="2" t="s">
        <v>0</v>
      </c>
      <c r="F156" s="2" t="str">
        <f t="shared" si="13"/>
        <v>NV10943795VàoSáng</v>
      </c>
      <c r="G156" s="52" t="str">
        <f t="shared" si="14"/>
        <v>07:52:21</v>
      </c>
      <c r="H156" s="53" t="str">
        <f t="shared" si="15"/>
        <v>Vào</v>
      </c>
      <c r="I156" s="53" t="str">
        <f t="shared" si="16"/>
        <v>Sáng</v>
      </c>
      <c r="J156" s="53" t="s">
        <v>39</v>
      </c>
      <c r="K156" s="53" t="s">
        <v>102</v>
      </c>
      <c r="L156" s="54">
        <f t="shared" si="17"/>
        <v>43795</v>
      </c>
      <c r="M156" s="54"/>
    </row>
    <row r="157" spans="1:13" s="47" customFormat="1" ht="13.8" x14ac:dyDescent="0.3">
      <c r="A157" s="1" t="s">
        <v>41</v>
      </c>
      <c r="B157" s="3">
        <v>43794.735659722217</v>
      </c>
      <c r="C157" s="2" t="s">
        <v>37</v>
      </c>
      <c r="D157" s="2" t="str">
        <f t="shared" si="12"/>
        <v>NV109</v>
      </c>
      <c r="E157" s="2" t="s">
        <v>0</v>
      </c>
      <c r="F157" s="2" t="str">
        <f t="shared" si="13"/>
        <v>NV10943794RaChiều</v>
      </c>
      <c r="G157" s="52" t="str">
        <f t="shared" si="14"/>
        <v>17:39:21</v>
      </c>
      <c r="H157" s="53" t="str">
        <f t="shared" si="15"/>
        <v>Ra</v>
      </c>
      <c r="I157" s="53" t="str">
        <f t="shared" si="16"/>
        <v>Chiều</v>
      </c>
      <c r="J157" s="53" t="s">
        <v>37</v>
      </c>
      <c r="K157" s="53" t="s">
        <v>103</v>
      </c>
      <c r="L157" s="54">
        <f t="shared" si="17"/>
        <v>43794</v>
      </c>
      <c r="M157" s="54"/>
    </row>
    <row r="158" spans="1:13" s="47" customFormat="1" ht="13.8" x14ac:dyDescent="0.3">
      <c r="A158" s="1" t="s">
        <v>41</v>
      </c>
      <c r="B158" s="3">
        <v>43794.331631944442</v>
      </c>
      <c r="C158" s="2" t="s">
        <v>37</v>
      </c>
      <c r="D158" s="2" t="str">
        <f t="shared" si="12"/>
        <v>NV109</v>
      </c>
      <c r="E158" s="2" t="s">
        <v>0</v>
      </c>
      <c r="F158" s="2" t="str">
        <f t="shared" si="13"/>
        <v>NV10943794VàoSáng</v>
      </c>
      <c r="G158" s="52" t="str">
        <f t="shared" si="14"/>
        <v>07:57:33</v>
      </c>
      <c r="H158" s="53" t="str">
        <f t="shared" si="15"/>
        <v>Vào</v>
      </c>
      <c r="I158" s="53" t="str">
        <f t="shared" si="16"/>
        <v>Sáng</v>
      </c>
      <c r="J158" s="53" t="s">
        <v>39</v>
      </c>
      <c r="K158" s="53" t="s">
        <v>102</v>
      </c>
      <c r="L158" s="54">
        <f t="shared" si="17"/>
        <v>43794</v>
      </c>
      <c r="M158" s="54"/>
    </row>
    <row r="159" spans="1:13" s="47" customFormat="1" ht="13.8" x14ac:dyDescent="0.3">
      <c r="A159" s="1" t="s">
        <v>41</v>
      </c>
      <c r="B159" s="3">
        <v>43792.688715277778</v>
      </c>
      <c r="C159" s="2" t="s">
        <v>37</v>
      </c>
      <c r="D159" s="2" t="str">
        <f t="shared" si="12"/>
        <v>NV109</v>
      </c>
      <c r="E159" s="2" t="s">
        <v>0</v>
      </c>
      <c r="F159" s="2" t="str">
        <f t="shared" si="13"/>
        <v>NV10943792RaChiều</v>
      </c>
      <c r="G159" s="52" t="str">
        <f t="shared" si="14"/>
        <v>16:31:45</v>
      </c>
      <c r="H159" s="53" t="str">
        <f t="shared" si="15"/>
        <v>Ra</v>
      </c>
      <c r="I159" s="53" t="str">
        <f t="shared" si="16"/>
        <v>Chiều</v>
      </c>
      <c r="J159" s="53" t="s">
        <v>37</v>
      </c>
      <c r="K159" s="53" t="s">
        <v>103</v>
      </c>
      <c r="L159" s="54">
        <f t="shared" si="17"/>
        <v>43792</v>
      </c>
      <c r="M159" s="54"/>
    </row>
    <row r="160" spans="1:13" s="47" customFormat="1" ht="13.8" x14ac:dyDescent="0.3">
      <c r="A160" s="1" t="s">
        <v>41</v>
      </c>
      <c r="B160" s="3">
        <v>43792.330509259256</v>
      </c>
      <c r="C160" s="2" t="s">
        <v>37</v>
      </c>
      <c r="D160" s="2" t="str">
        <f t="shared" si="12"/>
        <v>NV109</v>
      </c>
      <c r="E160" s="2" t="s">
        <v>0</v>
      </c>
      <c r="F160" s="2" t="str">
        <f t="shared" si="13"/>
        <v>NV10943792VàoSáng</v>
      </c>
      <c r="G160" s="52" t="str">
        <f t="shared" si="14"/>
        <v>07:55:56</v>
      </c>
      <c r="H160" s="53" t="str">
        <f t="shared" si="15"/>
        <v>Vào</v>
      </c>
      <c r="I160" s="53" t="str">
        <f t="shared" si="16"/>
        <v>Sáng</v>
      </c>
      <c r="J160" s="53" t="s">
        <v>39</v>
      </c>
      <c r="K160" s="53" t="s">
        <v>102</v>
      </c>
      <c r="L160" s="54">
        <f t="shared" si="17"/>
        <v>43792</v>
      </c>
      <c r="M160" s="54"/>
    </row>
    <row r="161" spans="1:13" s="47" customFormat="1" ht="13.8" x14ac:dyDescent="0.3">
      <c r="A161" s="1" t="s">
        <v>41</v>
      </c>
      <c r="B161" s="3">
        <v>43791.739224537036</v>
      </c>
      <c r="C161" s="2" t="s">
        <v>37</v>
      </c>
      <c r="D161" s="2" t="str">
        <f t="shared" si="12"/>
        <v>NV109</v>
      </c>
      <c r="E161" s="2" t="s">
        <v>0</v>
      </c>
      <c r="F161" s="2" t="str">
        <f t="shared" si="13"/>
        <v>NV10943791RaChiều</v>
      </c>
      <c r="G161" s="52" t="str">
        <f t="shared" si="14"/>
        <v>17:44:29</v>
      </c>
      <c r="H161" s="53" t="str">
        <f t="shared" si="15"/>
        <v>Ra</v>
      </c>
      <c r="I161" s="53" t="str">
        <f t="shared" si="16"/>
        <v>Chiều</v>
      </c>
      <c r="J161" s="53" t="s">
        <v>37</v>
      </c>
      <c r="K161" s="53" t="s">
        <v>103</v>
      </c>
      <c r="L161" s="54">
        <f t="shared" si="17"/>
        <v>43791</v>
      </c>
      <c r="M161" s="54"/>
    </row>
    <row r="162" spans="1:13" s="47" customFormat="1" ht="13.8" x14ac:dyDescent="0.3">
      <c r="A162" s="1" t="s">
        <v>41</v>
      </c>
      <c r="B162" s="3">
        <v>43791.334293981483</v>
      </c>
      <c r="C162" s="2" t="s">
        <v>37</v>
      </c>
      <c r="D162" s="2" t="str">
        <f t="shared" si="12"/>
        <v>NV109</v>
      </c>
      <c r="E162" s="2" t="s">
        <v>0</v>
      </c>
      <c r="F162" s="2" t="str">
        <f t="shared" si="13"/>
        <v>NV10943791VàoSáng</v>
      </c>
      <c r="G162" s="52" t="str">
        <f t="shared" si="14"/>
        <v>08:01:23</v>
      </c>
      <c r="H162" s="53" t="str">
        <f t="shared" si="15"/>
        <v>Vào</v>
      </c>
      <c r="I162" s="53" t="str">
        <f t="shared" si="16"/>
        <v>Sáng</v>
      </c>
      <c r="J162" s="53" t="s">
        <v>39</v>
      </c>
      <c r="K162" s="53" t="s">
        <v>102</v>
      </c>
      <c r="L162" s="54">
        <f t="shared" si="17"/>
        <v>43791</v>
      </c>
      <c r="M162" s="54"/>
    </row>
    <row r="163" spans="1:13" s="47" customFormat="1" ht="13.8" x14ac:dyDescent="0.3">
      <c r="A163" s="1" t="s">
        <v>41</v>
      </c>
      <c r="B163" s="3">
        <v>43790.730613425927</v>
      </c>
      <c r="C163" s="2" t="s">
        <v>37</v>
      </c>
      <c r="D163" s="2" t="str">
        <f t="shared" si="12"/>
        <v>NV109</v>
      </c>
      <c r="E163" s="2" t="s">
        <v>0</v>
      </c>
      <c r="F163" s="2" t="str">
        <f t="shared" si="13"/>
        <v>NV10943790RaChiều</v>
      </c>
      <c r="G163" s="52" t="str">
        <f t="shared" si="14"/>
        <v>17:32:05</v>
      </c>
      <c r="H163" s="53" t="str">
        <f t="shared" si="15"/>
        <v>Ra</v>
      </c>
      <c r="I163" s="53" t="str">
        <f t="shared" si="16"/>
        <v>Chiều</v>
      </c>
      <c r="J163" s="53" t="s">
        <v>37</v>
      </c>
      <c r="K163" s="53" t="s">
        <v>103</v>
      </c>
      <c r="L163" s="54">
        <f t="shared" si="17"/>
        <v>43790</v>
      </c>
      <c r="M163" s="54"/>
    </row>
    <row r="164" spans="1:13" s="47" customFormat="1" ht="13.8" x14ac:dyDescent="0.3">
      <c r="A164" s="1" t="s">
        <v>41</v>
      </c>
      <c r="B164" s="3">
        <v>43790.329745370371</v>
      </c>
      <c r="C164" s="2" t="s">
        <v>37</v>
      </c>
      <c r="D164" s="2" t="str">
        <f t="shared" si="12"/>
        <v>NV109</v>
      </c>
      <c r="E164" s="2" t="s">
        <v>0</v>
      </c>
      <c r="F164" s="2" t="str">
        <f t="shared" si="13"/>
        <v>NV10943790VàoSáng</v>
      </c>
      <c r="G164" s="52" t="str">
        <f t="shared" si="14"/>
        <v>07:54:50</v>
      </c>
      <c r="H164" s="53" t="str">
        <f t="shared" si="15"/>
        <v>Vào</v>
      </c>
      <c r="I164" s="53" t="str">
        <f t="shared" si="16"/>
        <v>Sáng</v>
      </c>
      <c r="J164" s="53" t="s">
        <v>39</v>
      </c>
      <c r="K164" s="53" t="s">
        <v>102</v>
      </c>
      <c r="L164" s="54">
        <f t="shared" si="17"/>
        <v>43790</v>
      </c>
      <c r="M164" s="54"/>
    </row>
    <row r="165" spans="1:13" s="47" customFormat="1" ht="13.8" x14ac:dyDescent="0.3">
      <c r="A165" s="1" t="s">
        <v>41</v>
      </c>
      <c r="B165" s="3">
        <v>43789.733356481476</v>
      </c>
      <c r="C165" s="2" t="s">
        <v>37</v>
      </c>
      <c r="D165" s="2" t="str">
        <f t="shared" si="12"/>
        <v>NV109</v>
      </c>
      <c r="E165" s="2" t="s">
        <v>0</v>
      </c>
      <c r="F165" s="2" t="str">
        <f t="shared" si="13"/>
        <v>NV10943789RaChiều</v>
      </c>
      <c r="G165" s="52" t="str">
        <f t="shared" si="14"/>
        <v>17:36:02</v>
      </c>
      <c r="H165" s="53" t="str">
        <f t="shared" si="15"/>
        <v>Ra</v>
      </c>
      <c r="I165" s="53" t="str">
        <f t="shared" si="16"/>
        <v>Chiều</v>
      </c>
      <c r="J165" s="53" t="s">
        <v>37</v>
      </c>
      <c r="K165" s="53" t="s">
        <v>103</v>
      </c>
      <c r="L165" s="54">
        <f t="shared" si="17"/>
        <v>43789</v>
      </c>
      <c r="M165" s="54"/>
    </row>
    <row r="166" spans="1:13" s="47" customFormat="1" ht="13.8" x14ac:dyDescent="0.3">
      <c r="A166" s="1" t="s">
        <v>41</v>
      </c>
      <c r="B166" s="3">
        <v>43789.327256944445</v>
      </c>
      <c r="C166" s="2" t="s">
        <v>37</v>
      </c>
      <c r="D166" s="2" t="str">
        <f t="shared" si="12"/>
        <v>NV109</v>
      </c>
      <c r="E166" s="2" t="s">
        <v>0</v>
      </c>
      <c r="F166" s="2" t="str">
        <f t="shared" si="13"/>
        <v>NV10943789VàoSáng</v>
      </c>
      <c r="G166" s="52" t="str">
        <f t="shared" si="14"/>
        <v>07:51:15</v>
      </c>
      <c r="H166" s="53" t="str">
        <f t="shared" si="15"/>
        <v>Vào</v>
      </c>
      <c r="I166" s="53" t="str">
        <f t="shared" si="16"/>
        <v>Sáng</v>
      </c>
      <c r="J166" s="53" t="s">
        <v>39</v>
      </c>
      <c r="K166" s="53" t="s">
        <v>102</v>
      </c>
      <c r="L166" s="54">
        <f t="shared" si="17"/>
        <v>43789</v>
      </c>
      <c r="M166" s="54"/>
    </row>
    <row r="167" spans="1:13" s="47" customFormat="1" ht="13.8" x14ac:dyDescent="0.3">
      <c r="A167" s="1" t="s">
        <v>41</v>
      </c>
      <c r="B167" s="3">
        <v>43788.730810185181</v>
      </c>
      <c r="C167" s="2" t="s">
        <v>37</v>
      </c>
      <c r="D167" s="2" t="str">
        <f t="shared" si="12"/>
        <v>NV109</v>
      </c>
      <c r="E167" s="2" t="s">
        <v>0</v>
      </c>
      <c r="F167" s="2" t="str">
        <f t="shared" si="13"/>
        <v>NV10943788RaChiều</v>
      </c>
      <c r="G167" s="52" t="str">
        <f t="shared" si="14"/>
        <v>17:32:22</v>
      </c>
      <c r="H167" s="53" t="str">
        <f t="shared" si="15"/>
        <v>Ra</v>
      </c>
      <c r="I167" s="53" t="str">
        <f t="shared" si="16"/>
        <v>Chiều</v>
      </c>
      <c r="J167" s="53" t="s">
        <v>37</v>
      </c>
      <c r="K167" s="53" t="s">
        <v>103</v>
      </c>
      <c r="L167" s="54">
        <f t="shared" si="17"/>
        <v>43788</v>
      </c>
      <c r="M167" s="54"/>
    </row>
    <row r="168" spans="1:13" s="47" customFormat="1" ht="13.8" x14ac:dyDescent="0.3">
      <c r="A168" s="1" t="s">
        <v>41</v>
      </c>
      <c r="B168" s="3">
        <v>43788.330879629626</v>
      </c>
      <c r="C168" s="2" t="s">
        <v>37</v>
      </c>
      <c r="D168" s="2" t="str">
        <f t="shared" si="12"/>
        <v>NV109</v>
      </c>
      <c r="E168" s="2" t="s">
        <v>0</v>
      </c>
      <c r="F168" s="2" t="str">
        <f t="shared" si="13"/>
        <v>NV10943788VàoSáng</v>
      </c>
      <c r="G168" s="52" t="str">
        <f t="shared" si="14"/>
        <v>07:56:28</v>
      </c>
      <c r="H168" s="53" t="str">
        <f t="shared" si="15"/>
        <v>Vào</v>
      </c>
      <c r="I168" s="53" t="str">
        <f t="shared" si="16"/>
        <v>Sáng</v>
      </c>
      <c r="J168" s="53" t="s">
        <v>39</v>
      </c>
      <c r="K168" s="53" t="s">
        <v>102</v>
      </c>
      <c r="L168" s="54">
        <f t="shared" si="17"/>
        <v>43788</v>
      </c>
      <c r="M168" s="54"/>
    </row>
    <row r="169" spans="1:13" s="47" customFormat="1" ht="13.8" x14ac:dyDescent="0.3">
      <c r="A169" s="1" t="s">
        <v>41</v>
      </c>
      <c r="B169" s="3">
        <v>43787.735486111109</v>
      </c>
      <c r="C169" s="2" t="s">
        <v>37</v>
      </c>
      <c r="D169" s="2" t="str">
        <f t="shared" si="12"/>
        <v>NV109</v>
      </c>
      <c r="E169" s="2" t="s">
        <v>0</v>
      </c>
      <c r="F169" s="2" t="str">
        <f t="shared" si="13"/>
        <v>NV10943787RaChiều</v>
      </c>
      <c r="G169" s="52" t="str">
        <f t="shared" si="14"/>
        <v>17:39:06</v>
      </c>
      <c r="H169" s="53" t="str">
        <f t="shared" si="15"/>
        <v>Ra</v>
      </c>
      <c r="I169" s="53" t="str">
        <f t="shared" si="16"/>
        <v>Chiều</v>
      </c>
      <c r="J169" s="53" t="s">
        <v>37</v>
      </c>
      <c r="K169" s="53" t="s">
        <v>103</v>
      </c>
      <c r="L169" s="54">
        <f t="shared" si="17"/>
        <v>43787</v>
      </c>
      <c r="M169" s="54"/>
    </row>
    <row r="170" spans="1:13" s="47" customFormat="1" ht="13.8" x14ac:dyDescent="0.3">
      <c r="A170" s="1" t="s">
        <v>41</v>
      </c>
      <c r="B170" s="3">
        <v>43787.328750000001</v>
      </c>
      <c r="C170" s="2" t="s">
        <v>37</v>
      </c>
      <c r="D170" s="2" t="str">
        <f t="shared" si="12"/>
        <v>NV109</v>
      </c>
      <c r="E170" s="2" t="s">
        <v>0</v>
      </c>
      <c r="F170" s="2" t="str">
        <f t="shared" si="13"/>
        <v>NV10943787VàoSáng</v>
      </c>
      <c r="G170" s="52" t="str">
        <f t="shared" si="14"/>
        <v>07:53:24</v>
      </c>
      <c r="H170" s="53" t="str">
        <f t="shared" si="15"/>
        <v>Vào</v>
      </c>
      <c r="I170" s="53" t="str">
        <f t="shared" si="16"/>
        <v>Sáng</v>
      </c>
      <c r="J170" s="53" t="s">
        <v>39</v>
      </c>
      <c r="K170" s="53" t="s">
        <v>102</v>
      </c>
      <c r="L170" s="54">
        <f t="shared" si="17"/>
        <v>43787</v>
      </c>
      <c r="M170" s="54"/>
    </row>
    <row r="171" spans="1:13" s="47" customFormat="1" ht="13.8" x14ac:dyDescent="0.3">
      <c r="A171" s="1" t="s">
        <v>41</v>
      </c>
      <c r="B171" s="3">
        <v>43785.730949074074</v>
      </c>
      <c r="C171" s="2" t="s">
        <v>37</v>
      </c>
      <c r="D171" s="2" t="str">
        <f t="shared" si="12"/>
        <v>NV109</v>
      </c>
      <c r="E171" s="2" t="s">
        <v>0</v>
      </c>
      <c r="F171" s="2" t="str">
        <f t="shared" si="13"/>
        <v>NV10943785RaChiều</v>
      </c>
      <c r="G171" s="52" t="str">
        <f t="shared" si="14"/>
        <v>17:32:34</v>
      </c>
      <c r="H171" s="53" t="str">
        <f t="shared" si="15"/>
        <v>Ra</v>
      </c>
      <c r="I171" s="53" t="str">
        <f t="shared" si="16"/>
        <v>Chiều</v>
      </c>
      <c r="J171" s="53" t="s">
        <v>37</v>
      </c>
      <c r="K171" s="53" t="s">
        <v>103</v>
      </c>
      <c r="L171" s="54">
        <f t="shared" si="17"/>
        <v>43785</v>
      </c>
      <c r="M171" s="54"/>
    </row>
    <row r="172" spans="1:13" s="47" customFormat="1" ht="13.8" x14ac:dyDescent="0.3">
      <c r="A172" s="1" t="s">
        <v>41</v>
      </c>
      <c r="B172" s="3">
        <v>43785.332025462958</v>
      </c>
      <c r="C172" s="2" t="s">
        <v>37</v>
      </c>
      <c r="D172" s="2" t="str">
        <f t="shared" si="12"/>
        <v>NV109</v>
      </c>
      <c r="E172" s="2" t="s">
        <v>0</v>
      </c>
      <c r="F172" s="2" t="str">
        <f t="shared" si="13"/>
        <v>NV10943785VàoSáng</v>
      </c>
      <c r="G172" s="52" t="str">
        <f t="shared" si="14"/>
        <v>07:58:07</v>
      </c>
      <c r="H172" s="53" t="str">
        <f t="shared" si="15"/>
        <v>Vào</v>
      </c>
      <c r="I172" s="53" t="str">
        <f t="shared" si="16"/>
        <v>Sáng</v>
      </c>
      <c r="J172" s="53" t="s">
        <v>39</v>
      </c>
      <c r="K172" s="53" t="s">
        <v>102</v>
      </c>
      <c r="L172" s="54">
        <f t="shared" si="17"/>
        <v>43785</v>
      </c>
      <c r="M172" s="54"/>
    </row>
    <row r="173" spans="1:13" s="47" customFormat="1" ht="13.8" x14ac:dyDescent="0.3">
      <c r="A173" s="1" t="s">
        <v>41</v>
      </c>
      <c r="B173" s="3">
        <v>43784.734872685185</v>
      </c>
      <c r="C173" s="2" t="s">
        <v>37</v>
      </c>
      <c r="D173" s="2" t="str">
        <f t="shared" si="12"/>
        <v>NV109</v>
      </c>
      <c r="E173" s="2" t="s">
        <v>0</v>
      </c>
      <c r="F173" s="2" t="str">
        <f t="shared" si="13"/>
        <v>NV10943784RaChiều</v>
      </c>
      <c r="G173" s="52" t="str">
        <f t="shared" si="14"/>
        <v>17:38:13</v>
      </c>
      <c r="H173" s="53" t="str">
        <f t="shared" si="15"/>
        <v>Ra</v>
      </c>
      <c r="I173" s="53" t="str">
        <f t="shared" si="16"/>
        <v>Chiều</v>
      </c>
      <c r="J173" s="53" t="s">
        <v>37</v>
      </c>
      <c r="K173" s="53" t="s">
        <v>103</v>
      </c>
      <c r="L173" s="54">
        <f t="shared" si="17"/>
        <v>43784</v>
      </c>
      <c r="M173" s="54"/>
    </row>
    <row r="174" spans="1:13" s="47" customFormat="1" ht="13.8" x14ac:dyDescent="0.3">
      <c r="A174" s="1" t="s">
        <v>41</v>
      </c>
      <c r="B174" s="3">
        <v>43784.325601851851</v>
      </c>
      <c r="C174" s="2" t="s">
        <v>37</v>
      </c>
      <c r="D174" s="2" t="str">
        <f t="shared" si="12"/>
        <v>NV109</v>
      </c>
      <c r="E174" s="2" t="s">
        <v>0</v>
      </c>
      <c r="F174" s="2" t="str">
        <f t="shared" si="13"/>
        <v>NV10943784VàoSáng</v>
      </c>
      <c r="G174" s="52" t="str">
        <f t="shared" si="14"/>
        <v>07:48:52</v>
      </c>
      <c r="H174" s="53" t="str">
        <f t="shared" si="15"/>
        <v>Vào</v>
      </c>
      <c r="I174" s="53" t="str">
        <f t="shared" si="16"/>
        <v>Sáng</v>
      </c>
      <c r="J174" s="53" t="s">
        <v>39</v>
      </c>
      <c r="K174" s="53" t="s">
        <v>102</v>
      </c>
      <c r="L174" s="54">
        <f t="shared" si="17"/>
        <v>43784</v>
      </c>
      <c r="M174" s="54"/>
    </row>
    <row r="175" spans="1:13" s="47" customFormat="1" ht="13.8" x14ac:dyDescent="0.3">
      <c r="A175" s="1" t="s">
        <v>41</v>
      </c>
      <c r="B175" s="3">
        <v>43783.731053240735</v>
      </c>
      <c r="C175" s="2" t="s">
        <v>37</v>
      </c>
      <c r="D175" s="2" t="str">
        <f t="shared" si="12"/>
        <v>NV109</v>
      </c>
      <c r="E175" s="2" t="s">
        <v>0</v>
      </c>
      <c r="F175" s="2" t="str">
        <f t="shared" si="13"/>
        <v>NV10943783RaChiều</v>
      </c>
      <c r="G175" s="52" t="str">
        <f t="shared" si="14"/>
        <v>17:32:43</v>
      </c>
      <c r="H175" s="53" t="str">
        <f t="shared" si="15"/>
        <v>Ra</v>
      </c>
      <c r="I175" s="53" t="str">
        <f t="shared" si="16"/>
        <v>Chiều</v>
      </c>
      <c r="J175" s="53" t="s">
        <v>37</v>
      </c>
      <c r="K175" s="53" t="s">
        <v>103</v>
      </c>
      <c r="L175" s="54">
        <f t="shared" si="17"/>
        <v>43783</v>
      </c>
      <c r="M175" s="54"/>
    </row>
    <row r="176" spans="1:13" s="47" customFormat="1" ht="13.8" x14ac:dyDescent="0.3">
      <c r="A176" s="1" t="s">
        <v>41</v>
      </c>
      <c r="B176" s="3">
        <v>43783.325740740736</v>
      </c>
      <c r="C176" s="2" t="s">
        <v>37</v>
      </c>
      <c r="D176" s="2" t="str">
        <f t="shared" si="12"/>
        <v>NV109</v>
      </c>
      <c r="E176" s="2" t="s">
        <v>0</v>
      </c>
      <c r="F176" s="2" t="str">
        <f t="shared" si="13"/>
        <v>NV10943783VàoSáng</v>
      </c>
      <c r="G176" s="52" t="str">
        <f t="shared" si="14"/>
        <v>07:49:04</v>
      </c>
      <c r="H176" s="53" t="str">
        <f t="shared" si="15"/>
        <v>Vào</v>
      </c>
      <c r="I176" s="53" t="str">
        <f t="shared" si="16"/>
        <v>Sáng</v>
      </c>
      <c r="J176" s="53" t="s">
        <v>39</v>
      </c>
      <c r="K176" s="53" t="s">
        <v>102</v>
      </c>
      <c r="L176" s="54">
        <f t="shared" si="17"/>
        <v>43783</v>
      </c>
      <c r="M176" s="54"/>
    </row>
    <row r="177" spans="1:13" s="47" customFormat="1" ht="13.8" x14ac:dyDescent="0.3">
      <c r="A177" s="1" t="s">
        <v>41</v>
      </c>
      <c r="B177" s="3">
        <v>43782.730983796297</v>
      </c>
      <c r="C177" s="2" t="s">
        <v>37</v>
      </c>
      <c r="D177" s="2" t="str">
        <f t="shared" si="12"/>
        <v>NV109</v>
      </c>
      <c r="E177" s="2" t="s">
        <v>0</v>
      </c>
      <c r="F177" s="2" t="str">
        <f t="shared" si="13"/>
        <v>NV10943782RaChiều</v>
      </c>
      <c r="G177" s="52" t="str">
        <f t="shared" si="14"/>
        <v>17:32:37</v>
      </c>
      <c r="H177" s="53" t="str">
        <f t="shared" si="15"/>
        <v>Ra</v>
      </c>
      <c r="I177" s="53" t="str">
        <f t="shared" si="16"/>
        <v>Chiều</v>
      </c>
      <c r="J177" s="53" t="s">
        <v>37</v>
      </c>
      <c r="K177" s="53" t="s">
        <v>103</v>
      </c>
      <c r="L177" s="54">
        <f t="shared" si="17"/>
        <v>43782</v>
      </c>
      <c r="M177" s="54"/>
    </row>
    <row r="178" spans="1:13" s="47" customFormat="1" ht="13.8" x14ac:dyDescent="0.3">
      <c r="A178" s="1" t="s">
        <v>41</v>
      </c>
      <c r="B178" s="3">
        <v>43782.324270833335</v>
      </c>
      <c r="C178" s="2" t="s">
        <v>37</v>
      </c>
      <c r="D178" s="2" t="str">
        <f t="shared" si="12"/>
        <v>NV109</v>
      </c>
      <c r="E178" s="2" t="s">
        <v>0</v>
      </c>
      <c r="F178" s="2" t="str">
        <f t="shared" si="13"/>
        <v>NV10943782VàoSáng</v>
      </c>
      <c r="G178" s="52" t="str">
        <f t="shared" si="14"/>
        <v>07:46:57</v>
      </c>
      <c r="H178" s="53" t="str">
        <f t="shared" si="15"/>
        <v>Vào</v>
      </c>
      <c r="I178" s="53" t="str">
        <f t="shared" si="16"/>
        <v>Sáng</v>
      </c>
      <c r="J178" s="53" t="s">
        <v>39</v>
      </c>
      <c r="K178" s="53" t="s">
        <v>102</v>
      </c>
      <c r="L178" s="54">
        <f t="shared" si="17"/>
        <v>43782</v>
      </c>
      <c r="M178" s="54"/>
    </row>
    <row r="179" spans="1:13" s="47" customFormat="1" ht="13.8" x14ac:dyDescent="0.3">
      <c r="A179" s="1" t="s">
        <v>41</v>
      </c>
      <c r="B179" s="3">
        <v>43781.735972222217</v>
      </c>
      <c r="C179" s="2" t="s">
        <v>37</v>
      </c>
      <c r="D179" s="2" t="str">
        <f t="shared" si="12"/>
        <v>NV109</v>
      </c>
      <c r="E179" s="2" t="s">
        <v>0</v>
      </c>
      <c r="F179" s="2" t="str">
        <f t="shared" si="13"/>
        <v>NV10943781RaChiều</v>
      </c>
      <c r="G179" s="52" t="str">
        <f t="shared" si="14"/>
        <v>17:39:48</v>
      </c>
      <c r="H179" s="53" t="str">
        <f t="shared" si="15"/>
        <v>Ra</v>
      </c>
      <c r="I179" s="53" t="str">
        <f t="shared" si="16"/>
        <v>Chiều</v>
      </c>
      <c r="J179" s="53" t="s">
        <v>37</v>
      </c>
      <c r="K179" s="53" t="s">
        <v>103</v>
      </c>
      <c r="L179" s="54">
        <f t="shared" si="17"/>
        <v>43781</v>
      </c>
      <c r="M179" s="54"/>
    </row>
    <row r="180" spans="1:13" s="47" customFormat="1" ht="13.8" x14ac:dyDescent="0.3">
      <c r="A180" s="1" t="s">
        <v>41</v>
      </c>
      <c r="B180" s="3">
        <v>43781.330694444441</v>
      </c>
      <c r="C180" s="2" t="s">
        <v>37</v>
      </c>
      <c r="D180" s="2" t="str">
        <f t="shared" si="12"/>
        <v>NV109</v>
      </c>
      <c r="E180" s="2" t="s">
        <v>0</v>
      </c>
      <c r="F180" s="2" t="str">
        <f t="shared" si="13"/>
        <v>NV10943781VàoSáng</v>
      </c>
      <c r="G180" s="52" t="str">
        <f t="shared" si="14"/>
        <v>07:56:12</v>
      </c>
      <c r="H180" s="53" t="str">
        <f t="shared" si="15"/>
        <v>Vào</v>
      </c>
      <c r="I180" s="53" t="str">
        <f t="shared" si="16"/>
        <v>Sáng</v>
      </c>
      <c r="J180" s="53" t="s">
        <v>39</v>
      </c>
      <c r="K180" s="53" t="s">
        <v>102</v>
      </c>
      <c r="L180" s="54">
        <f t="shared" si="17"/>
        <v>43781</v>
      </c>
      <c r="M180" s="54"/>
    </row>
    <row r="181" spans="1:13" s="47" customFormat="1" ht="13.8" x14ac:dyDescent="0.3">
      <c r="A181" s="1" t="s">
        <v>41</v>
      </c>
      <c r="B181" s="3">
        <v>43780.741400462961</v>
      </c>
      <c r="C181" s="2" t="s">
        <v>37</v>
      </c>
      <c r="D181" s="2" t="str">
        <f t="shared" si="12"/>
        <v>NV109</v>
      </c>
      <c r="E181" s="2" t="s">
        <v>0</v>
      </c>
      <c r="F181" s="2" t="str">
        <f t="shared" si="13"/>
        <v>NV10943780RaChiều</v>
      </c>
      <c r="G181" s="52" t="str">
        <f t="shared" si="14"/>
        <v>17:47:37</v>
      </c>
      <c r="H181" s="53" t="str">
        <f t="shared" si="15"/>
        <v>Ra</v>
      </c>
      <c r="I181" s="53" t="str">
        <f t="shared" si="16"/>
        <v>Chiều</v>
      </c>
      <c r="J181" s="53" t="s">
        <v>37</v>
      </c>
      <c r="K181" s="53" t="s">
        <v>103</v>
      </c>
      <c r="L181" s="54">
        <f t="shared" si="17"/>
        <v>43780</v>
      </c>
      <c r="M181" s="54"/>
    </row>
    <row r="182" spans="1:13" s="47" customFormat="1" ht="13.8" x14ac:dyDescent="0.3">
      <c r="A182" s="1" t="s">
        <v>41</v>
      </c>
      <c r="B182" s="3">
        <v>43780.328888888886</v>
      </c>
      <c r="C182" s="2" t="s">
        <v>37</v>
      </c>
      <c r="D182" s="2" t="str">
        <f t="shared" si="12"/>
        <v>NV109</v>
      </c>
      <c r="E182" s="2" t="s">
        <v>0</v>
      </c>
      <c r="F182" s="2" t="str">
        <f t="shared" si="13"/>
        <v>NV10943780VàoSáng</v>
      </c>
      <c r="G182" s="52" t="str">
        <f t="shared" si="14"/>
        <v>07:53:36</v>
      </c>
      <c r="H182" s="53" t="str">
        <f t="shared" si="15"/>
        <v>Vào</v>
      </c>
      <c r="I182" s="53" t="str">
        <f t="shared" si="16"/>
        <v>Sáng</v>
      </c>
      <c r="J182" s="53" t="s">
        <v>39</v>
      </c>
      <c r="K182" s="53" t="s">
        <v>102</v>
      </c>
      <c r="L182" s="54">
        <f t="shared" si="17"/>
        <v>43780</v>
      </c>
      <c r="M182" s="54"/>
    </row>
    <row r="183" spans="1:13" s="47" customFormat="1" ht="13.8" x14ac:dyDescent="0.3">
      <c r="A183" s="1" t="s">
        <v>41</v>
      </c>
      <c r="B183" s="3">
        <v>43778.73233796296</v>
      </c>
      <c r="C183" s="2" t="s">
        <v>37</v>
      </c>
      <c r="D183" s="2" t="str">
        <f t="shared" si="12"/>
        <v>NV109</v>
      </c>
      <c r="E183" s="2" t="s">
        <v>0</v>
      </c>
      <c r="F183" s="2" t="str">
        <f t="shared" si="13"/>
        <v>NV10943778RaChiều</v>
      </c>
      <c r="G183" s="52" t="str">
        <f t="shared" si="14"/>
        <v>17:34:34</v>
      </c>
      <c r="H183" s="53" t="str">
        <f t="shared" si="15"/>
        <v>Ra</v>
      </c>
      <c r="I183" s="53" t="str">
        <f t="shared" si="16"/>
        <v>Chiều</v>
      </c>
      <c r="J183" s="53" t="s">
        <v>37</v>
      </c>
      <c r="K183" s="53" t="s">
        <v>103</v>
      </c>
      <c r="L183" s="54">
        <f t="shared" si="17"/>
        <v>43778</v>
      </c>
      <c r="M183" s="54"/>
    </row>
    <row r="184" spans="1:13" s="47" customFormat="1" ht="13.8" x14ac:dyDescent="0.3">
      <c r="A184" s="1" t="s">
        <v>41</v>
      </c>
      <c r="B184" s="3">
        <v>43778.321793981479</v>
      </c>
      <c r="C184" s="2" t="s">
        <v>37</v>
      </c>
      <c r="D184" s="2" t="str">
        <f t="shared" si="12"/>
        <v>NV109</v>
      </c>
      <c r="E184" s="2" t="s">
        <v>0</v>
      </c>
      <c r="F184" s="2" t="str">
        <f t="shared" si="13"/>
        <v>NV10943778VàoSáng</v>
      </c>
      <c r="G184" s="52" t="str">
        <f t="shared" si="14"/>
        <v>07:43:23</v>
      </c>
      <c r="H184" s="53" t="str">
        <f t="shared" si="15"/>
        <v>Vào</v>
      </c>
      <c r="I184" s="53" t="str">
        <f t="shared" si="16"/>
        <v>Sáng</v>
      </c>
      <c r="J184" s="53" t="s">
        <v>39</v>
      </c>
      <c r="K184" s="53" t="s">
        <v>102</v>
      </c>
      <c r="L184" s="54">
        <f t="shared" si="17"/>
        <v>43778</v>
      </c>
      <c r="M184" s="54"/>
    </row>
    <row r="185" spans="1:13" s="47" customFormat="1" ht="13.8" x14ac:dyDescent="0.3">
      <c r="A185" s="1" t="s">
        <v>41</v>
      </c>
      <c r="B185" s="3">
        <v>43777.73710648148</v>
      </c>
      <c r="C185" s="2" t="s">
        <v>37</v>
      </c>
      <c r="D185" s="2" t="str">
        <f t="shared" si="12"/>
        <v>NV109</v>
      </c>
      <c r="E185" s="2" t="s">
        <v>0</v>
      </c>
      <c r="F185" s="2" t="str">
        <f t="shared" si="13"/>
        <v>NV10943777RaChiều</v>
      </c>
      <c r="G185" s="52" t="str">
        <f t="shared" si="14"/>
        <v>17:41:26</v>
      </c>
      <c r="H185" s="53" t="str">
        <f t="shared" si="15"/>
        <v>Ra</v>
      </c>
      <c r="I185" s="53" t="str">
        <f t="shared" si="16"/>
        <v>Chiều</v>
      </c>
      <c r="J185" s="53" t="s">
        <v>37</v>
      </c>
      <c r="K185" s="53" t="s">
        <v>103</v>
      </c>
      <c r="L185" s="54">
        <f t="shared" si="17"/>
        <v>43777</v>
      </c>
      <c r="M185" s="54"/>
    </row>
    <row r="186" spans="1:13" s="47" customFormat="1" ht="13.8" x14ac:dyDescent="0.3">
      <c r="A186" s="1" t="s">
        <v>41</v>
      </c>
      <c r="B186" s="3">
        <v>43777.323969907404</v>
      </c>
      <c r="C186" s="2" t="s">
        <v>37</v>
      </c>
      <c r="D186" s="2" t="str">
        <f t="shared" si="12"/>
        <v>NV109</v>
      </c>
      <c r="E186" s="2" t="s">
        <v>0</v>
      </c>
      <c r="F186" s="2" t="str">
        <f t="shared" si="13"/>
        <v>NV10943777VàoSáng</v>
      </c>
      <c r="G186" s="52" t="str">
        <f t="shared" si="14"/>
        <v>07:46:31</v>
      </c>
      <c r="H186" s="53" t="str">
        <f t="shared" si="15"/>
        <v>Vào</v>
      </c>
      <c r="I186" s="53" t="str">
        <f t="shared" si="16"/>
        <v>Sáng</v>
      </c>
      <c r="J186" s="53" t="s">
        <v>39</v>
      </c>
      <c r="K186" s="53" t="s">
        <v>102</v>
      </c>
      <c r="L186" s="54">
        <f t="shared" si="17"/>
        <v>43777</v>
      </c>
      <c r="M186" s="54"/>
    </row>
    <row r="187" spans="1:13" s="47" customFormat="1" ht="13.8" x14ac:dyDescent="0.3">
      <c r="A187" s="1" t="s">
        <v>41</v>
      </c>
      <c r="B187" s="3">
        <v>43776.729618055557</v>
      </c>
      <c r="C187" s="2" t="s">
        <v>37</v>
      </c>
      <c r="D187" s="2" t="str">
        <f t="shared" si="12"/>
        <v>NV109</v>
      </c>
      <c r="E187" s="2" t="s">
        <v>0</v>
      </c>
      <c r="F187" s="2" t="str">
        <f t="shared" si="13"/>
        <v>NV10943776RaChiều</v>
      </c>
      <c r="G187" s="52" t="str">
        <f t="shared" si="14"/>
        <v>17:30:39</v>
      </c>
      <c r="H187" s="53" t="str">
        <f t="shared" si="15"/>
        <v>Ra</v>
      </c>
      <c r="I187" s="53" t="str">
        <f t="shared" si="16"/>
        <v>Chiều</v>
      </c>
      <c r="J187" s="53" t="s">
        <v>37</v>
      </c>
      <c r="K187" s="53" t="s">
        <v>103</v>
      </c>
      <c r="L187" s="54">
        <f t="shared" si="17"/>
        <v>43776</v>
      </c>
      <c r="M187" s="54"/>
    </row>
    <row r="188" spans="1:13" s="47" customFormat="1" ht="13.8" x14ac:dyDescent="0.3">
      <c r="A188" s="1" t="s">
        <v>41</v>
      </c>
      <c r="B188" s="3">
        <v>43776.319201388884</v>
      </c>
      <c r="C188" s="2" t="s">
        <v>37</v>
      </c>
      <c r="D188" s="2" t="str">
        <f t="shared" si="12"/>
        <v>NV109</v>
      </c>
      <c r="E188" s="2" t="s">
        <v>0</v>
      </c>
      <c r="F188" s="2" t="str">
        <f t="shared" si="13"/>
        <v>NV10943776VàoSáng</v>
      </c>
      <c r="G188" s="52" t="str">
        <f t="shared" si="14"/>
        <v>07:39:39</v>
      </c>
      <c r="H188" s="53" t="str">
        <f t="shared" si="15"/>
        <v>Vào</v>
      </c>
      <c r="I188" s="53" t="str">
        <f t="shared" si="16"/>
        <v>Sáng</v>
      </c>
      <c r="J188" s="53" t="s">
        <v>39</v>
      </c>
      <c r="K188" s="53" t="s">
        <v>102</v>
      </c>
      <c r="L188" s="54">
        <f t="shared" si="17"/>
        <v>43776</v>
      </c>
      <c r="M188" s="54"/>
    </row>
    <row r="189" spans="1:13" s="47" customFormat="1" ht="13.8" x14ac:dyDescent="0.3">
      <c r="A189" s="1" t="s">
        <v>41</v>
      </c>
      <c r="B189" s="3">
        <v>43775.733217592591</v>
      </c>
      <c r="C189" s="2" t="s">
        <v>37</v>
      </c>
      <c r="D189" s="2" t="str">
        <f t="shared" si="12"/>
        <v>NV109</v>
      </c>
      <c r="E189" s="2" t="s">
        <v>0</v>
      </c>
      <c r="F189" s="2" t="str">
        <f t="shared" si="13"/>
        <v>NV10943775RaChiều</v>
      </c>
      <c r="G189" s="52" t="str">
        <f t="shared" si="14"/>
        <v>17:35:50</v>
      </c>
      <c r="H189" s="53" t="str">
        <f t="shared" si="15"/>
        <v>Ra</v>
      </c>
      <c r="I189" s="53" t="str">
        <f t="shared" si="16"/>
        <v>Chiều</v>
      </c>
      <c r="J189" s="53" t="s">
        <v>37</v>
      </c>
      <c r="K189" s="53" t="s">
        <v>103</v>
      </c>
      <c r="L189" s="54">
        <f t="shared" si="17"/>
        <v>43775</v>
      </c>
      <c r="M189" s="54"/>
    </row>
    <row r="190" spans="1:13" s="47" customFormat="1" ht="13.8" x14ac:dyDescent="0.3">
      <c r="A190" s="1" t="s">
        <v>41</v>
      </c>
      <c r="B190" s="3">
        <v>43775.317453703705</v>
      </c>
      <c r="C190" s="2" t="s">
        <v>37</v>
      </c>
      <c r="D190" s="2" t="str">
        <f t="shared" si="12"/>
        <v>NV109</v>
      </c>
      <c r="E190" s="2" t="s">
        <v>0</v>
      </c>
      <c r="F190" s="2" t="str">
        <f t="shared" si="13"/>
        <v>NV10943775VàoSáng</v>
      </c>
      <c r="G190" s="52" t="str">
        <f t="shared" si="14"/>
        <v>07:37:08</v>
      </c>
      <c r="H190" s="53" t="str">
        <f t="shared" si="15"/>
        <v>Vào</v>
      </c>
      <c r="I190" s="53" t="str">
        <f t="shared" si="16"/>
        <v>Sáng</v>
      </c>
      <c r="J190" s="53" t="s">
        <v>39</v>
      </c>
      <c r="K190" s="53" t="s">
        <v>102</v>
      </c>
      <c r="L190" s="54">
        <f t="shared" si="17"/>
        <v>43775</v>
      </c>
      <c r="M190" s="54"/>
    </row>
    <row r="191" spans="1:13" s="47" customFormat="1" ht="13.8" x14ac:dyDescent="0.3">
      <c r="A191" s="1" t="s">
        <v>41</v>
      </c>
      <c r="B191" s="3">
        <v>43774.734756944439</v>
      </c>
      <c r="C191" s="2" t="s">
        <v>37</v>
      </c>
      <c r="D191" s="2" t="str">
        <f t="shared" si="12"/>
        <v>NV109</v>
      </c>
      <c r="E191" s="2" t="s">
        <v>0</v>
      </c>
      <c r="F191" s="2" t="str">
        <f t="shared" si="13"/>
        <v>NV10943774RaChiều</v>
      </c>
      <c r="G191" s="52" t="str">
        <f t="shared" si="14"/>
        <v>17:38:03</v>
      </c>
      <c r="H191" s="53" t="str">
        <f t="shared" si="15"/>
        <v>Ra</v>
      </c>
      <c r="I191" s="53" t="str">
        <f t="shared" si="16"/>
        <v>Chiều</v>
      </c>
      <c r="J191" s="53" t="s">
        <v>37</v>
      </c>
      <c r="K191" s="53" t="s">
        <v>103</v>
      </c>
      <c r="L191" s="54">
        <f t="shared" si="17"/>
        <v>43774</v>
      </c>
      <c r="M191" s="54"/>
    </row>
    <row r="192" spans="1:13" s="47" customFormat="1" ht="13.8" x14ac:dyDescent="0.3">
      <c r="A192" s="1" t="s">
        <v>41</v>
      </c>
      <c r="B192" s="3">
        <v>43774.326342592591</v>
      </c>
      <c r="C192" s="2" t="s">
        <v>37</v>
      </c>
      <c r="D192" s="2" t="str">
        <f t="shared" si="12"/>
        <v>NV109</v>
      </c>
      <c r="E192" s="2" t="s">
        <v>0</v>
      </c>
      <c r="F192" s="2" t="str">
        <f t="shared" si="13"/>
        <v>NV10943774VàoSáng</v>
      </c>
      <c r="G192" s="52" t="str">
        <f t="shared" si="14"/>
        <v>07:49:56</v>
      </c>
      <c r="H192" s="53" t="str">
        <f t="shared" si="15"/>
        <v>Vào</v>
      </c>
      <c r="I192" s="53" t="str">
        <f t="shared" si="16"/>
        <v>Sáng</v>
      </c>
      <c r="J192" s="53" t="s">
        <v>39</v>
      </c>
      <c r="K192" s="53" t="s">
        <v>102</v>
      </c>
      <c r="L192" s="54">
        <f t="shared" si="17"/>
        <v>43774</v>
      </c>
      <c r="M192" s="54"/>
    </row>
    <row r="193" spans="1:13" s="47" customFormat="1" ht="13.8" x14ac:dyDescent="0.3">
      <c r="A193" s="1" t="s">
        <v>41</v>
      </c>
      <c r="B193" s="3">
        <v>43773.730949074074</v>
      </c>
      <c r="C193" s="2" t="s">
        <v>37</v>
      </c>
      <c r="D193" s="2" t="str">
        <f t="shared" si="12"/>
        <v>NV109</v>
      </c>
      <c r="E193" s="2" t="s">
        <v>0</v>
      </c>
      <c r="F193" s="2" t="str">
        <f t="shared" si="13"/>
        <v>NV10943773RaChiều</v>
      </c>
      <c r="G193" s="52" t="str">
        <f t="shared" si="14"/>
        <v>17:32:34</v>
      </c>
      <c r="H193" s="53" t="str">
        <f t="shared" si="15"/>
        <v>Ra</v>
      </c>
      <c r="I193" s="53" t="str">
        <f t="shared" si="16"/>
        <v>Chiều</v>
      </c>
      <c r="J193" s="53" t="s">
        <v>37</v>
      </c>
      <c r="K193" s="53" t="s">
        <v>103</v>
      </c>
      <c r="L193" s="54">
        <f t="shared" si="17"/>
        <v>43773</v>
      </c>
      <c r="M193" s="54"/>
    </row>
    <row r="194" spans="1:13" s="47" customFormat="1" ht="13.8" x14ac:dyDescent="0.3">
      <c r="A194" s="1" t="s">
        <v>41</v>
      </c>
      <c r="B194" s="3">
        <v>43773.329363425924</v>
      </c>
      <c r="C194" s="2" t="s">
        <v>37</v>
      </c>
      <c r="D194" s="2" t="str">
        <f t="shared" si="12"/>
        <v>NV109</v>
      </c>
      <c r="E194" s="2" t="s">
        <v>0</v>
      </c>
      <c r="F194" s="2" t="str">
        <f t="shared" si="13"/>
        <v>NV10943773VàoSáng</v>
      </c>
      <c r="G194" s="52" t="str">
        <f t="shared" si="14"/>
        <v>07:54:17</v>
      </c>
      <c r="H194" s="53" t="str">
        <f t="shared" si="15"/>
        <v>Vào</v>
      </c>
      <c r="I194" s="53" t="str">
        <f t="shared" si="16"/>
        <v>Sáng</v>
      </c>
      <c r="J194" s="53" t="s">
        <v>39</v>
      </c>
      <c r="K194" s="53" t="s">
        <v>102</v>
      </c>
      <c r="L194" s="54">
        <f t="shared" si="17"/>
        <v>43773</v>
      </c>
      <c r="M194" s="54"/>
    </row>
    <row r="195" spans="1:13" s="47" customFormat="1" ht="13.8" x14ac:dyDescent="0.3">
      <c r="A195" s="1" t="s">
        <v>41</v>
      </c>
      <c r="B195" s="3">
        <v>43771.729803240742</v>
      </c>
      <c r="C195" s="2" t="s">
        <v>37</v>
      </c>
      <c r="D195" s="2" t="str">
        <f t="shared" si="12"/>
        <v>NV109</v>
      </c>
      <c r="E195" s="2" t="s">
        <v>0</v>
      </c>
      <c r="F195" s="2" t="str">
        <f t="shared" si="13"/>
        <v>NV10943771RaChiều</v>
      </c>
      <c r="G195" s="52" t="str">
        <f t="shared" si="14"/>
        <v>17:30:55</v>
      </c>
      <c r="H195" s="53" t="str">
        <f t="shared" si="15"/>
        <v>Ra</v>
      </c>
      <c r="I195" s="53" t="str">
        <f t="shared" si="16"/>
        <v>Chiều</v>
      </c>
      <c r="J195" s="53" t="s">
        <v>37</v>
      </c>
      <c r="K195" s="53" t="s">
        <v>103</v>
      </c>
      <c r="L195" s="54">
        <f t="shared" si="17"/>
        <v>43771</v>
      </c>
      <c r="M195" s="54"/>
    </row>
    <row r="196" spans="1:13" s="47" customFormat="1" ht="13.8" x14ac:dyDescent="0.3">
      <c r="A196" s="1" t="s">
        <v>41</v>
      </c>
      <c r="B196" s="3">
        <v>43771.327615740738</v>
      </c>
      <c r="C196" s="2" t="s">
        <v>37</v>
      </c>
      <c r="D196" s="2" t="str">
        <f t="shared" si="12"/>
        <v>NV109</v>
      </c>
      <c r="E196" s="2" t="s">
        <v>0</v>
      </c>
      <c r="F196" s="2" t="str">
        <f t="shared" si="13"/>
        <v>NV10943771VàoSáng</v>
      </c>
      <c r="G196" s="52" t="str">
        <f t="shared" si="14"/>
        <v>07:51:46</v>
      </c>
      <c r="H196" s="53" t="str">
        <f t="shared" si="15"/>
        <v>Vào</v>
      </c>
      <c r="I196" s="53" t="str">
        <f t="shared" si="16"/>
        <v>Sáng</v>
      </c>
      <c r="J196" s="53" t="s">
        <v>39</v>
      </c>
      <c r="K196" s="53" t="s">
        <v>102</v>
      </c>
      <c r="L196" s="54">
        <f t="shared" si="17"/>
        <v>43771</v>
      </c>
      <c r="M196" s="54"/>
    </row>
    <row r="197" spans="1:13" s="47" customFormat="1" ht="13.8" x14ac:dyDescent="0.3">
      <c r="A197" s="1" t="s">
        <v>41</v>
      </c>
      <c r="B197" s="3">
        <v>43770.758854166663</v>
      </c>
      <c r="C197" s="2" t="s">
        <v>37</v>
      </c>
      <c r="D197" s="2" t="str">
        <f t="shared" si="12"/>
        <v>NV109</v>
      </c>
      <c r="E197" s="2" t="s">
        <v>0</v>
      </c>
      <c r="F197" s="2" t="str">
        <f t="shared" si="13"/>
        <v>NV10943770RaChiều</v>
      </c>
      <c r="G197" s="52" t="str">
        <f t="shared" si="14"/>
        <v>18:12:45</v>
      </c>
      <c r="H197" s="53" t="str">
        <f t="shared" si="15"/>
        <v>Ra</v>
      </c>
      <c r="I197" s="53" t="str">
        <f t="shared" si="16"/>
        <v>Chiều</v>
      </c>
      <c r="J197" s="53" t="s">
        <v>37</v>
      </c>
      <c r="K197" s="53" t="s">
        <v>103</v>
      </c>
      <c r="L197" s="54">
        <f t="shared" si="17"/>
        <v>43770</v>
      </c>
      <c r="M197" s="54"/>
    </row>
    <row r="198" spans="1:13" s="47" customFormat="1" ht="13.8" x14ac:dyDescent="0.3">
      <c r="A198" s="1" t="s">
        <v>41</v>
      </c>
      <c r="B198" s="3">
        <v>43770.329560185186</v>
      </c>
      <c r="C198" s="2" t="s">
        <v>37</v>
      </c>
      <c r="D198" s="2" t="str">
        <f t="shared" ref="D198:D261" si="18">"NV"&amp;A198</f>
        <v>NV109</v>
      </c>
      <c r="E198" s="2" t="s">
        <v>0</v>
      </c>
      <c r="F198" s="2" t="str">
        <f t="shared" ref="F198:F261" si="19">D198&amp;L198&amp;J198&amp;K198</f>
        <v>NV10943770VàoSáng</v>
      </c>
      <c r="G198" s="52" t="str">
        <f t="shared" si="14"/>
        <v>07:54:34</v>
      </c>
      <c r="H198" s="53" t="str">
        <f t="shared" si="15"/>
        <v>Vào</v>
      </c>
      <c r="I198" s="53" t="str">
        <f t="shared" si="16"/>
        <v>Sáng</v>
      </c>
      <c r="J198" s="53" t="s">
        <v>39</v>
      </c>
      <c r="K198" s="53" t="s">
        <v>102</v>
      </c>
      <c r="L198" s="54">
        <f t="shared" si="17"/>
        <v>43770</v>
      </c>
      <c r="M198" s="54"/>
    </row>
    <row r="199" spans="1:13" s="47" customFormat="1" ht="13.8" x14ac:dyDescent="0.3">
      <c r="A199" s="1" t="s">
        <v>42</v>
      </c>
      <c r="B199" s="3">
        <v>43799.732083333329</v>
      </c>
      <c r="C199" s="2" t="s">
        <v>37</v>
      </c>
      <c r="D199" s="2" t="str">
        <f t="shared" si="18"/>
        <v>NV113</v>
      </c>
      <c r="E199" s="2" t="s">
        <v>0</v>
      </c>
      <c r="F199" s="2" t="str">
        <f t="shared" si="19"/>
        <v>NV11343799RaChiều</v>
      </c>
      <c r="G199" s="52" t="str">
        <f t="shared" ref="G199:G262" si="20">TEXT(TIME(HOUR(B199),MINUTE(B199),SECOND(B199)),"hh:mm:ss")</f>
        <v>17:34:12</v>
      </c>
      <c r="H199" s="53" t="str">
        <f t="shared" ref="H199:H262" si="21">IF(AND(I199="Sáng",G199&lt;"11:00:00",G199&gt;="07:00:00"),"Vào",
IF(AND(I199="Sáng",G199&lt;"13:00:00",G199&gt;="11:00:00"),"Ra",
IF(AND(I199="Chiều",G199&lt;"16:00:00",G199&gt;="13:00:00"),"Vào",
IF(AND(I199="Chiều",G199&lt;"20:00:00",G199&gt;="16:00:00"),"Ra"))))</f>
        <v>Ra</v>
      </c>
      <c r="I199" s="53" t="str">
        <f t="shared" ref="I199:I262" si="22">IF(G199&lt;="12:30:00","Sáng","Chiều")</f>
        <v>Chiều</v>
      </c>
      <c r="J199" s="53" t="s">
        <v>37</v>
      </c>
      <c r="K199" s="53" t="s">
        <v>103</v>
      </c>
      <c r="L199" s="54">
        <f t="shared" ref="L199:L262" si="23">DATE(YEAR(B199),MONTH(B199),DAY(B199))</f>
        <v>43799</v>
      </c>
      <c r="M199" s="54"/>
    </row>
    <row r="200" spans="1:13" s="47" customFormat="1" ht="13.8" x14ac:dyDescent="0.3">
      <c r="A200" s="1" t="s">
        <v>42</v>
      </c>
      <c r="B200" s="3">
        <v>43799.323159722218</v>
      </c>
      <c r="C200" s="2" t="s">
        <v>37</v>
      </c>
      <c r="D200" s="2" t="str">
        <f t="shared" si="18"/>
        <v>NV113</v>
      </c>
      <c r="E200" s="2" t="s">
        <v>0</v>
      </c>
      <c r="F200" s="2" t="str">
        <f t="shared" si="19"/>
        <v>NV11343799VàoSáng</v>
      </c>
      <c r="G200" s="52" t="str">
        <f t="shared" si="20"/>
        <v>07:45:21</v>
      </c>
      <c r="H200" s="53" t="str">
        <f t="shared" si="21"/>
        <v>Vào</v>
      </c>
      <c r="I200" s="53" t="str">
        <f t="shared" si="22"/>
        <v>Sáng</v>
      </c>
      <c r="J200" s="53" t="s">
        <v>39</v>
      </c>
      <c r="K200" s="53" t="s">
        <v>102</v>
      </c>
      <c r="L200" s="54">
        <f t="shared" si="23"/>
        <v>43799</v>
      </c>
      <c r="M200" s="54"/>
    </row>
    <row r="201" spans="1:13" s="47" customFormat="1" ht="13.8" x14ac:dyDescent="0.3">
      <c r="A201" s="1" t="s">
        <v>42</v>
      </c>
      <c r="B201" s="3">
        <v>43798.732615740737</v>
      </c>
      <c r="C201" s="2" t="s">
        <v>37</v>
      </c>
      <c r="D201" s="2" t="str">
        <f t="shared" si="18"/>
        <v>NV113</v>
      </c>
      <c r="E201" s="2" t="s">
        <v>0</v>
      </c>
      <c r="F201" s="2" t="str">
        <f t="shared" si="19"/>
        <v>NV11343798RaChiều</v>
      </c>
      <c r="G201" s="52" t="str">
        <f t="shared" si="20"/>
        <v>17:34:58</v>
      </c>
      <c r="H201" s="53" t="str">
        <f t="shared" si="21"/>
        <v>Ra</v>
      </c>
      <c r="I201" s="53" t="str">
        <f t="shared" si="22"/>
        <v>Chiều</v>
      </c>
      <c r="J201" s="53" t="s">
        <v>37</v>
      </c>
      <c r="K201" s="53" t="s">
        <v>103</v>
      </c>
      <c r="L201" s="54">
        <f t="shared" si="23"/>
        <v>43798</v>
      </c>
      <c r="M201" s="54"/>
    </row>
    <row r="202" spans="1:13" s="47" customFormat="1" ht="13.8" x14ac:dyDescent="0.3">
      <c r="A202" s="1" t="s">
        <v>42</v>
      </c>
      <c r="B202" s="3">
        <v>43798.328969907408</v>
      </c>
      <c r="C202" s="2" t="s">
        <v>37</v>
      </c>
      <c r="D202" s="2" t="str">
        <f t="shared" si="18"/>
        <v>NV113</v>
      </c>
      <c r="E202" s="2" t="s">
        <v>0</v>
      </c>
      <c r="F202" s="2" t="str">
        <f t="shared" si="19"/>
        <v>NV11343798VàoSáng</v>
      </c>
      <c r="G202" s="52" t="str">
        <f t="shared" si="20"/>
        <v>07:53:43</v>
      </c>
      <c r="H202" s="53" t="str">
        <f t="shared" si="21"/>
        <v>Vào</v>
      </c>
      <c r="I202" s="53" t="str">
        <f t="shared" si="22"/>
        <v>Sáng</v>
      </c>
      <c r="J202" s="53" t="s">
        <v>39</v>
      </c>
      <c r="K202" s="53" t="s">
        <v>102</v>
      </c>
      <c r="L202" s="54">
        <f t="shared" si="23"/>
        <v>43798</v>
      </c>
      <c r="M202" s="54"/>
    </row>
    <row r="203" spans="1:13" s="47" customFormat="1" ht="13.8" x14ac:dyDescent="0.3">
      <c r="A203" s="1" t="s">
        <v>42</v>
      </c>
      <c r="B203" s="3">
        <v>43797.734895833331</v>
      </c>
      <c r="C203" s="2" t="s">
        <v>37</v>
      </c>
      <c r="D203" s="2" t="str">
        <f t="shared" si="18"/>
        <v>NV113</v>
      </c>
      <c r="E203" s="2" t="s">
        <v>0</v>
      </c>
      <c r="F203" s="2" t="str">
        <f t="shared" si="19"/>
        <v>NV11343797RaChiều</v>
      </c>
      <c r="G203" s="52" t="str">
        <f t="shared" si="20"/>
        <v>17:38:15</v>
      </c>
      <c r="H203" s="53" t="str">
        <f t="shared" si="21"/>
        <v>Ra</v>
      </c>
      <c r="I203" s="53" t="str">
        <f t="shared" si="22"/>
        <v>Chiều</v>
      </c>
      <c r="J203" s="53" t="s">
        <v>37</v>
      </c>
      <c r="K203" s="53" t="s">
        <v>103</v>
      </c>
      <c r="L203" s="54">
        <f t="shared" si="23"/>
        <v>43797</v>
      </c>
      <c r="M203" s="54"/>
    </row>
    <row r="204" spans="1:13" s="47" customFormat="1" ht="13.8" x14ac:dyDescent="0.3">
      <c r="A204" s="1" t="s">
        <v>42</v>
      </c>
      <c r="B204" s="3">
        <v>43797.319490740738</v>
      </c>
      <c r="C204" s="2" t="s">
        <v>37</v>
      </c>
      <c r="D204" s="2" t="str">
        <f t="shared" si="18"/>
        <v>NV113</v>
      </c>
      <c r="E204" s="2" t="s">
        <v>0</v>
      </c>
      <c r="F204" s="2" t="str">
        <f t="shared" si="19"/>
        <v>NV11343797VàoSáng</v>
      </c>
      <c r="G204" s="52" t="str">
        <f t="shared" si="20"/>
        <v>07:40:04</v>
      </c>
      <c r="H204" s="53" t="str">
        <f t="shared" si="21"/>
        <v>Vào</v>
      </c>
      <c r="I204" s="53" t="str">
        <f t="shared" si="22"/>
        <v>Sáng</v>
      </c>
      <c r="J204" s="53" t="s">
        <v>39</v>
      </c>
      <c r="K204" s="53" t="s">
        <v>102</v>
      </c>
      <c r="L204" s="54">
        <f t="shared" si="23"/>
        <v>43797</v>
      </c>
      <c r="M204" s="54"/>
    </row>
    <row r="205" spans="1:13" s="47" customFormat="1" ht="13.8" x14ac:dyDescent="0.3">
      <c r="A205" s="1" t="s">
        <v>42</v>
      </c>
      <c r="B205" s="3">
        <v>43796.732615740737</v>
      </c>
      <c r="C205" s="2" t="s">
        <v>37</v>
      </c>
      <c r="D205" s="2" t="str">
        <f t="shared" si="18"/>
        <v>NV113</v>
      </c>
      <c r="E205" s="2" t="s">
        <v>0</v>
      </c>
      <c r="F205" s="2" t="str">
        <f t="shared" si="19"/>
        <v>NV11343796RaChiều</v>
      </c>
      <c r="G205" s="52" t="str">
        <f t="shared" si="20"/>
        <v>17:34:58</v>
      </c>
      <c r="H205" s="53" t="str">
        <f t="shared" si="21"/>
        <v>Ra</v>
      </c>
      <c r="I205" s="53" t="str">
        <f t="shared" si="22"/>
        <v>Chiều</v>
      </c>
      <c r="J205" s="53" t="s">
        <v>37</v>
      </c>
      <c r="K205" s="53" t="s">
        <v>103</v>
      </c>
      <c r="L205" s="54">
        <f t="shared" si="23"/>
        <v>43796</v>
      </c>
      <c r="M205" s="54"/>
    </row>
    <row r="206" spans="1:13" s="47" customFormat="1" ht="13.8" x14ac:dyDescent="0.3">
      <c r="A206" s="1" t="s">
        <v>42</v>
      </c>
      <c r="B206" s="3">
        <v>43796.33048611111</v>
      </c>
      <c r="C206" s="2" t="s">
        <v>37</v>
      </c>
      <c r="D206" s="2" t="str">
        <f t="shared" si="18"/>
        <v>NV113</v>
      </c>
      <c r="E206" s="2" t="s">
        <v>0</v>
      </c>
      <c r="F206" s="2" t="str">
        <f t="shared" si="19"/>
        <v>NV11343796VàoSáng</v>
      </c>
      <c r="G206" s="52" t="str">
        <f t="shared" si="20"/>
        <v>07:55:54</v>
      </c>
      <c r="H206" s="53" t="str">
        <f t="shared" si="21"/>
        <v>Vào</v>
      </c>
      <c r="I206" s="53" t="str">
        <f t="shared" si="22"/>
        <v>Sáng</v>
      </c>
      <c r="J206" s="53" t="s">
        <v>39</v>
      </c>
      <c r="K206" s="53" t="s">
        <v>102</v>
      </c>
      <c r="L206" s="54">
        <f t="shared" si="23"/>
        <v>43796</v>
      </c>
      <c r="M206" s="54"/>
    </row>
    <row r="207" spans="1:13" s="47" customFormat="1" ht="13.8" x14ac:dyDescent="0.3">
      <c r="A207" s="1" t="s">
        <v>42</v>
      </c>
      <c r="B207" s="3">
        <v>43795.738587962958</v>
      </c>
      <c r="C207" s="2" t="s">
        <v>37</v>
      </c>
      <c r="D207" s="2" t="str">
        <f t="shared" si="18"/>
        <v>NV113</v>
      </c>
      <c r="E207" s="2" t="s">
        <v>0</v>
      </c>
      <c r="F207" s="2" t="str">
        <f t="shared" si="19"/>
        <v>NV11343795RaChiều</v>
      </c>
      <c r="G207" s="52" t="str">
        <f t="shared" si="20"/>
        <v>17:43:34</v>
      </c>
      <c r="H207" s="53" t="str">
        <f t="shared" si="21"/>
        <v>Ra</v>
      </c>
      <c r="I207" s="53" t="str">
        <f t="shared" si="22"/>
        <v>Chiều</v>
      </c>
      <c r="J207" s="53" t="s">
        <v>37</v>
      </c>
      <c r="K207" s="53" t="s">
        <v>103</v>
      </c>
      <c r="L207" s="54">
        <f t="shared" si="23"/>
        <v>43795</v>
      </c>
      <c r="M207" s="54"/>
    </row>
    <row r="208" spans="1:13" s="47" customFormat="1" ht="13.8" x14ac:dyDescent="0.3">
      <c r="A208" s="1" t="s">
        <v>42</v>
      </c>
      <c r="B208" s="3">
        <v>43795.323402777773</v>
      </c>
      <c r="C208" s="2" t="s">
        <v>37</v>
      </c>
      <c r="D208" s="2" t="str">
        <f t="shared" si="18"/>
        <v>NV113</v>
      </c>
      <c r="E208" s="2" t="s">
        <v>0</v>
      </c>
      <c r="F208" s="2" t="str">
        <f t="shared" si="19"/>
        <v>NV11343795VàoSáng</v>
      </c>
      <c r="G208" s="52" t="str">
        <f t="shared" si="20"/>
        <v>07:45:42</v>
      </c>
      <c r="H208" s="53" t="str">
        <f t="shared" si="21"/>
        <v>Vào</v>
      </c>
      <c r="I208" s="53" t="str">
        <f t="shared" si="22"/>
        <v>Sáng</v>
      </c>
      <c r="J208" s="53" t="s">
        <v>39</v>
      </c>
      <c r="K208" s="53" t="s">
        <v>102</v>
      </c>
      <c r="L208" s="54">
        <f t="shared" si="23"/>
        <v>43795</v>
      </c>
      <c r="M208" s="54"/>
    </row>
    <row r="209" spans="1:13" s="47" customFormat="1" ht="13.8" x14ac:dyDescent="0.3">
      <c r="A209" s="1" t="s">
        <v>42</v>
      </c>
      <c r="B209" s="3">
        <v>43794.74255787037</v>
      </c>
      <c r="C209" s="2" t="s">
        <v>37</v>
      </c>
      <c r="D209" s="2" t="str">
        <f t="shared" si="18"/>
        <v>NV113</v>
      </c>
      <c r="E209" s="2" t="s">
        <v>0</v>
      </c>
      <c r="F209" s="2" t="str">
        <f t="shared" si="19"/>
        <v>NV11343794RaChiều</v>
      </c>
      <c r="G209" s="52" t="str">
        <f t="shared" si="20"/>
        <v>17:49:17</v>
      </c>
      <c r="H209" s="53" t="str">
        <f t="shared" si="21"/>
        <v>Ra</v>
      </c>
      <c r="I209" s="53" t="str">
        <f t="shared" si="22"/>
        <v>Chiều</v>
      </c>
      <c r="J209" s="53" t="s">
        <v>37</v>
      </c>
      <c r="K209" s="53" t="s">
        <v>103</v>
      </c>
      <c r="L209" s="54">
        <f t="shared" si="23"/>
        <v>43794</v>
      </c>
      <c r="M209" s="54"/>
    </row>
    <row r="210" spans="1:13" s="47" customFormat="1" ht="13.8" x14ac:dyDescent="0.3">
      <c r="A210" s="1" t="s">
        <v>42</v>
      </c>
      <c r="B210" s="3">
        <v>43794.324965277774</v>
      </c>
      <c r="C210" s="2" t="s">
        <v>37</v>
      </c>
      <c r="D210" s="2" t="str">
        <f t="shared" si="18"/>
        <v>NV113</v>
      </c>
      <c r="E210" s="2" t="s">
        <v>0</v>
      </c>
      <c r="F210" s="2" t="str">
        <f t="shared" si="19"/>
        <v>NV11343794VàoSáng</v>
      </c>
      <c r="G210" s="52" t="str">
        <f t="shared" si="20"/>
        <v>07:47:57</v>
      </c>
      <c r="H210" s="53" t="str">
        <f t="shared" si="21"/>
        <v>Vào</v>
      </c>
      <c r="I210" s="53" t="str">
        <f t="shared" si="22"/>
        <v>Sáng</v>
      </c>
      <c r="J210" s="53" t="s">
        <v>39</v>
      </c>
      <c r="K210" s="53" t="s">
        <v>102</v>
      </c>
      <c r="L210" s="54">
        <f t="shared" si="23"/>
        <v>43794</v>
      </c>
      <c r="M210" s="54"/>
    </row>
    <row r="211" spans="1:13" s="47" customFormat="1" ht="13.8" x14ac:dyDescent="0.3">
      <c r="A211" s="1" t="s">
        <v>42</v>
      </c>
      <c r="B211" s="3">
        <v>43792.732199074075</v>
      </c>
      <c r="C211" s="2" t="s">
        <v>37</v>
      </c>
      <c r="D211" s="2" t="str">
        <f t="shared" si="18"/>
        <v>NV113</v>
      </c>
      <c r="E211" s="2" t="s">
        <v>0</v>
      </c>
      <c r="F211" s="2" t="str">
        <f t="shared" si="19"/>
        <v>NV11343792RaChiều</v>
      </c>
      <c r="G211" s="52" t="str">
        <f t="shared" si="20"/>
        <v>17:34:22</v>
      </c>
      <c r="H211" s="53" t="str">
        <f t="shared" si="21"/>
        <v>Ra</v>
      </c>
      <c r="I211" s="53" t="str">
        <f t="shared" si="22"/>
        <v>Chiều</v>
      </c>
      <c r="J211" s="53" t="s">
        <v>37</v>
      </c>
      <c r="K211" s="53" t="s">
        <v>103</v>
      </c>
      <c r="L211" s="54">
        <f t="shared" si="23"/>
        <v>43792</v>
      </c>
      <c r="M211" s="54"/>
    </row>
    <row r="212" spans="1:13" s="47" customFormat="1" ht="13.8" x14ac:dyDescent="0.3">
      <c r="A212" s="1" t="s">
        <v>42</v>
      </c>
      <c r="B212" s="3">
        <v>43792.322245370371</v>
      </c>
      <c r="C212" s="2" t="s">
        <v>37</v>
      </c>
      <c r="D212" s="2" t="str">
        <f t="shared" si="18"/>
        <v>NV113</v>
      </c>
      <c r="E212" s="2" t="s">
        <v>0</v>
      </c>
      <c r="F212" s="2" t="str">
        <f t="shared" si="19"/>
        <v>NV11343792VàoSáng</v>
      </c>
      <c r="G212" s="52" t="str">
        <f t="shared" si="20"/>
        <v>07:44:02</v>
      </c>
      <c r="H212" s="53" t="str">
        <f t="shared" si="21"/>
        <v>Vào</v>
      </c>
      <c r="I212" s="53" t="str">
        <f t="shared" si="22"/>
        <v>Sáng</v>
      </c>
      <c r="J212" s="53" t="s">
        <v>39</v>
      </c>
      <c r="K212" s="53" t="s">
        <v>102</v>
      </c>
      <c r="L212" s="54">
        <f t="shared" si="23"/>
        <v>43792</v>
      </c>
      <c r="M212" s="54"/>
    </row>
    <row r="213" spans="1:13" s="47" customFormat="1" ht="13.8" x14ac:dyDescent="0.3">
      <c r="A213" s="1" t="s">
        <v>42</v>
      </c>
      <c r="B213" s="3">
        <v>43791.739259259259</v>
      </c>
      <c r="C213" s="2" t="s">
        <v>37</v>
      </c>
      <c r="D213" s="2" t="str">
        <f t="shared" si="18"/>
        <v>NV113</v>
      </c>
      <c r="E213" s="2" t="s">
        <v>0</v>
      </c>
      <c r="F213" s="2" t="str">
        <f t="shared" si="19"/>
        <v>NV11343791RaChiều</v>
      </c>
      <c r="G213" s="52" t="str">
        <f t="shared" si="20"/>
        <v>17:44:32</v>
      </c>
      <c r="H213" s="53" t="str">
        <f t="shared" si="21"/>
        <v>Ra</v>
      </c>
      <c r="I213" s="53" t="str">
        <f t="shared" si="22"/>
        <v>Chiều</v>
      </c>
      <c r="J213" s="53" t="s">
        <v>37</v>
      </c>
      <c r="K213" s="53" t="s">
        <v>103</v>
      </c>
      <c r="L213" s="54">
        <f t="shared" si="23"/>
        <v>43791</v>
      </c>
      <c r="M213" s="54"/>
    </row>
    <row r="214" spans="1:13" s="47" customFormat="1" ht="13.8" x14ac:dyDescent="0.3">
      <c r="A214" s="1" t="s">
        <v>42</v>
      </c>
      <c r="B214" s="3">
        <v>43791.324837962959</v>
      </c>
      <c r="C214" s="2" t="s">
        <v>37</v>
      </c>
      <c r="D214" s="2" t="str">
        <f t="shared" si="18"/>
        <v>NV113</v>
      </c>
      <c r="E214" s="2" t="s">
        <v>0</v>
      </c>
      <c r="F214" s="2" t="str">
        <f t="shared" si="19"/>
        <v>NV11343791VàoSáng</v>
      </c>
      <c r="G214" s="52" t="str">
        <f t="shared" si="20"/>
        <v>07:47:46</v>
      </c>
      <c r="H214" s="53" t="str">
        <f t="shared" si="21"/>
        <v>Vào</v>
      </c>
      <c r="I214" s="53" t="str">
        <f t="shared" si="22"/>
        <v>Sáng</v>
      </c>
      <c r="J214" s="53" t="s">
        <v>39</v>
      </c>
      <c r="K214" s="53" t="s">
        <v>102</v>
      </c>
      <c r="L214" s="54">
        <f t="shared" si="23"/>
        <v>43791</v>
      </c>
      <c r="M214" s="54"/>
    </row>
    <row r="215" spans="1:13" s="47" customFormat="1" ht="13.8" x14ac:dyDescent="0.3">
      <c r="A215" s="1" t="s">
        <v>42</v>
      </c>
      <c r="B215" s="3">
        <v>43790.735405092593</v>
      </c>
      <c r="C215" s="2" t="s">
        <v>37</v>
      </c>
      <c r="D215" s="2" t="str">
        <f t="shared" si="18"/>
        <v>NV113</v>
      </c>
      <c r="E215" s="2" t="s">
        <v>0</v>
      </c>
      <c r="F215" s="2" t="str">
        <f t="shared" si="19"/>
        <v>NV11343790RaChiều</v>
      </c>
      <c r="G215" s="52" t="str">
        <f t="shared" si="20"/>
        <v>17:38:59</v>
      </c>
      <c r="H215" s="53" t="str">
        <f t="shared" si="21"/>
        <v>Ra</v>
      </c>
      <c r="I215" s="53" t="str">
        <f t="shared" si="22"/>
        <v>Chiều</v>
      </c>
      <c r="J215" s="53" t="s">
        <v>37</v>
      </c>
      <c r="K215" s="53" t="s">
        <v>103</v>
      </c>
      <c r="L215" s="54">
        <f t="shared" si="23"/>
        <v>43790</v>
      </c>
      <c r="M215" s="54"/>
    </row>
    <row r="216" spans="1:13" s="47" customFormat="1" ht="13.8" x14ac:dyDescent="0.3">
      <c r="A216" s="1" t="s">
        <v>42</v>
      </c>
      <c r="B216" s="3">
        <v>43790.326296296298</v>
      </c>
      <c r="C216" s="2" t="s">
        <v>37</v>
      </c>
      <c r="D216" s="2" t="str">
        <f t="shared" si="18"/>
        <v>NV113</v>
      </c>
      <c r="E216" s="2" t="s">
        <v>0</v>
      </c>
      <c r="F216" s="2" t="str">
        <f t="shared" si="19"/>
        <v>NV11343790VàoSáng</v>
      </c>
      <c r="G216" s="52" t="str">
        <f t="shared" si="20"/>
        <v>07:49:52</v>
      </c>
      <c r="H216" s="53" t="str">
        <f t="shared" si="21"/>
        <v>Vào</v>
      </c>
      <c r="I216" s="53" t="str">
        <f t="shared" si="22"/>
        <v>Sáng</v>
      </c>
      <c r="J216" s="53" t="s">
        <v>39</v>
      </c>
      <c r="K216" s="53" t="s">
        <v>102</v>
      </c>
      <c r="L216" s="54">
        <f t="shared" si="23"/>
        <v>43790</v>
      </c>
      <c r="M216" s="54"/>
    </row>
    <row r="217" spans="1:13" s="47" customFormat="1" ht="13.8" x14ac:dyDescent="0.3">
      <c r="A217" s="1" t="s">
        <v>42</v>
      </c>
      <c r="B217" s="3">
        <v>43789.738009259258</v>
      </c>
      <c r="C217" s="2" t="s">
        <v>37</v>
      </c>
      <c r="D217" s="2" t="str">
        <f t="shared" si="18"/>
        <v>NV113</v>
      </c>
      <c r="E217" s="2" t="s">
        <v>0</v>
      </c>
      <c r="F217" s="2" t="str">
        <f t="shared" si="19"/>
        <v>NV11343789RaChiều</v>
      </c>
      <c r="G217" s="52" t="str">
        <f t="shared" si="20"/>
        <v>17:42:44</v>
      </c>
      <c r="H217" s="53" t="str">
        <f t="shared" si="21"/>
        <v>Ra</v>
      </c>
      <c r="I217" s="53" t="str">
        <f t="shared" si="22"/>
        <v>Chiều</v>
      </c>
      <c r="J217" s="53" t="s">
        <v>37</v>
      </c>
      <c r="K217" s="53" t="s">
        <v>103</v>
      </c>
      <c r="L217" s="54">
        <f t="shared" si="23"/>
        <v>43789</v>
      </c>
      <c r="M217" s="54"/>
    </row>
    <row r="218" spans="1:13" s="47" customFormat="1" ht="13.8" x14ac:dyDescent="0.3">
      <c r="A218" s="1" t="s">
        <v>42</v>
      </c>
      <c r="B218" s="3">
        <v>43789.326296296298</v>
      </c>
      <c r="C218" s="2" t="s">
        <v>37</v>
      </c>
      <c r="D218" s="2" t="str">
        <f t="shared" si="18"/>
        <v>NV113</v>
      </c>
      <c r="E218" s="2" t="s">
        <v>0</v>
      </c>
      <c r="F218" s="2" t="str">
        <f t="shared" si="19"/>
        <v>NV11343789VàoSáng</v>
      </c>
      <c r="G218" s="52" t="str">
        <f t="shared" si="20"/>
        <v>07:49:52</v>
      </c>
      <c r="H218" s="53" t="str">
        <f t="shared" si="21"/>
        <v>Vào</v>
      </c>
      <c r="I218" s="53" t="str">
        <f t="shared" si="22"/>
        <v>Sáng</v>
      </c>
      <c r="J218" s="53" t="s">
        <v>39</v>
      </c>
      <c r="K218" s="53" t="s">
        <v>102</v>
      </c>
      <c r="L218" s="54">
        <f t="shared" si="23"/>
        <v>43789</v>
      </c>
      <c r="M218" s="54"/>
    </row>
    <row r="219" spans="1:13" s="47" customFormat="1" ht="13.8" x14ac:dyDescent="0.3">
      <c r="A219" s="1" t="s">
        <v>42</v>
      </c>
      <c r="B219" s="3">
        <v>43788.732673611106</v>
      </c>
      <c r="C219" s="2" t="s">
        <v>37</v>
      </c>
      <c r="D219" s="2" t="str">
        <f t="shared" si="18"/>
        <v>NV113</v>
      </c>
      <c r="E219" s="2" t="s">
        <v>0</v>
      </c>
      <c r="F219" s="2" t="str">
        <f t="shared" si="19"/>
        <v>NV11343788RaChiều</v>
      </c>
      <c r="G219" s="52" t="str">
        <f t="shared" si="20"/>
        <v>17:35:03</v>
      </c>
      <c r="H219" s="53" t="str">
        <f t="shared" si="21"/>
        <v>Ra</v>
      </c>
      <c r="I219" s="53" t="str">
        <f t="shared" si="22"/>
        <v>Chiều</v>
      </c>
      <c r="J219" s="53" t="s">
        <v>37</v>
      </c>
      <c r="K219" s="53" t="s">
        <v>103</v>
      </c>
      <c r="L219" s="54">
        <f t="shared" si="23"/>
        <v>43788</v>
      </c>
      <c r="M219" s="54"/>
    </row>
    <row r="220" spans="1:13" s="47" customFormat="1" ht="13.8" x14ac:dyDescent="0.3">
      <c r="A220" s="1" t="s">
        <v>42</v>
      </c>
      <c r="B220" s="3">
        <v>43788.327326388884</v>
      </c>
      <c r="C220" s="2" t="s">
        <v>37</v>
      </c>
      <c r="D220" s="2" t="str">
        <f t="shared" si="18"/>
        <v>NV113</v>
      </c>
      <c r="E220" s="2" t="s">
        <v>0</v>
      </c>
      <c r="F220" s="2" t="str">
        <f t="shared" si="19"/>
        <v>NV11343788VàoSáng</v>
      </c>
      <c r="G220" s="52" t="str">
        <f t="shared" si="20"/>
        <v>07:51:21</v>
      </c>
      <c r="H220" s="53" t="str">
        <f t="shared" si="21"/>
        <v>Vào</v>
      </c>
      <c r="I220" s="53" t="str">
        <f t="shared" si="22"/>
        <v>Sáng</v>
      </c>
      <c r="J220" s="53" t="s">
        <v>39</v>
      </c>
      <c r="K220" s="53" t="s">
        <v>102</v>
      </c>
      <c r="L220" s="54">
        <f t="shared" si="23"/>
        <v>43788</v>
      </c>
      <c r="M220" s="54"/>
    </row>
    <row r="221" spans="1:13" s="47" customFormat="1" ht="13.8" x14ac:dyDescent="0.3">
      <c r="A221" s="1" t="s">
        <v>42</v>
      </c>
      <c r="B221" s="3">
        <v>43787.7346875</v>
      </c>
      <c r="C221" s="2" t="s">
        <v>37</v>
      </c>
      <c r="D221" s="2" t="str">
        <f t="shared" si="18"/>
        <v>NV113</v>
      </c>
      <c r="E221" s="2" t="s">
        <v>0</v>
      </c>
      <c r="F221" s="2" t="str">
        <f t="shared" si="19"/>
        <v>NV11343787RaChiều</v>
      </c>
      <c r="G221" s="52" t="str">
        <f t="shared" si="20"/>
        <v>17:37:57</v>
      </c>
      <c r="H221" s="53" t="str">
        <f t="shared" si="21"/>
        <v>Ra</v>
      </c>
      <c r="I221" s="53" t="str">
        <f t="shared" si="22"/>
        <v>Chiều</v>
      </c>
      <c r="J221" s="53" t="s">
        <v>37</v>
      </c>
      <c r="K221" s="53" t="s">
        <v>103</v>
      </c>
      <c r="L221" s="54">
        <f t="shared" si="23"/>
        <v>43787</v>
      </c>
      <c r="M221" s="54"/>
    </row>
    <row r="222" spans="1:13" s="47" customFormat="1" ht="13.8" x14ac:dyDescent="0.3">
      <c r="A222" s="1" t="s">
        <v>42</v>
      </c>
      <c r="B222" s="3">
        <v>43787.329837962963</v>
      </c>
      <c r="C222" s="2" t="s">
        <v>37</v>
      </c>
      <c r="D222" s="2" t="str">
        <f t="shared" si="18"/>
        <v>NV113</v>
      </c>
      <c r="E222" s="2" t="s">
        <v>0</v>
      </c>
      <c r="F222" s="2" t="str">
        <f t="shared" si="19"/>
        <v>NV11343787VàoSáng</v>
      </c>
      <c r="G222" s="52" t="str">
        <f t="shared" si="20"/>
        <v>07:54:58</v>
      </c>
      <c r="H222" s="53" t="str">
        <f t="shared" si="21"/>
        <v>Vào</v>
      </c>
      <c r="I222" s="53" t="str">
        <f t="shared" si="22"/>
        <v>Sáng</v>
      </c>
      <c r="J222" s="53" t="s">
        <v>39</v>
      </c>
      <c r="K222" s="53" t="s">
        <v>102</v>
      </c>
      <c r="L222" s="54">
        <f t="shared" si="23"/>
        <v>43787</v>
      </c>
      <c r="M222" s="54"/>
    </row>
    <row r="223" spans="1:13" s="47" customFormat="1" ht="13.8" x14ac:dyDescent="0.3">
      <c r="A223" s="1" t="s">
        <v>42</v>
      </c>
      <c r="B223" s="3">
        <v>43785.731932870367</v>
      </c>
      <c r="C223" s="2" t="s">
        <v>37</v>
      </c>
      <c r="D223" s="2" t="str">
        <f t="shared" si="18"/>
        <v>NV113</v>
      </c>
      <c r="E223" s="2" t="s">
        <v>0</v>
      </c>
      <c r="F223" s="2" t="str">
        <f t="shared" si="19"/>
        <v>NV11343785RaChiều</v>
      </c>
      <c r="G223" s="52" t="str">
        <f t="shared" si="20"/>
        <v>17:33:59</v>
      </c>
      <c r="H223" s="53" t="str">
        <f t="shared" si="21"/>
        <v>Ra</v>
      </c>
      <c r="I223" s="53" t="str">
        <f t="shared" si="22"/>
        <v>Chiều</v>
      </c>
      <c r="J223" s="53" t="s">
        <v>37</v>
      </c>
      <c r="K223" s="53" t="s">
        <v>103</v>
      </c>
      <c r="L223" s="54">
        <f t="shared" si="23"/>
        <v>43785</v>
      </c>
      <c r="M223" s="54"/>
    </row>
    <row r="224" spans="1:13" s="47" customFormat="1" ht="13.8" x14ac:dyDescent="0.3">
      <c r="A224" s="1" t="s">
        <v>42</v>
      </c>
      <c r="B224" s="3">
        <v>43785.320081018515</v>
      </c>
      <c r="C224" s="2" t="s">
        <v>37</v>
      </c>
      <c r="D224" s="2" t="str">
        <f t="shared" si="18"/>
        <v>NV113</v>
      </c>
      <c r="E224" s="2" t="s">
        <v>0</v>
      </c>
      <c r="F224" s="2" t="str">
        <f t="shared" si="19"/>
        <v>NV11343785VàoSáng</v>
      </c>
      <c r="G224" s="52" t="str">
        <f t="shared" si="20"/>
        <v>07:40:55</v>
      </c>
      <c r="H224" s="53" t="str">
        <f t="shared" si="21"/>
        <v>Vào</v>
      </c>
      <c r="I224" s="53" t="str">
        <f t="shared" si="22"/>
        <v>Sáng</v>
      </c>
      <c r="J224" s="53" t="s">
        <v>39</v>
      </c>
      <c r="K224" s="53" t="s">
        <v>102</v>
      </c>
      <c r="L224" s="54">
        <f t="shared" si="23"/>
        <v>43785</v>
      </c>
      <c r="M224" s="54"/>
    </row>
    <row r="225" spans="1:13" s="47" customFormat="1" ht="13.8" x14ac:dyDescent="0.3">
      <c r="A225" s="1" t="s">
        <v>42</v>
      </c>
      <c r="B225" s="3">
        <v>43784.737581018519</v>
      </c>
      <c r="C225" s="2" t="s">
        <v>37</v>
      </c>
      <c r="D225" s="2" t="str">
        <f t="shared" si="18"/>
        <v>NV113</v>
      </c>
      <c r="E225" s="2" t="s">
        <v>0</v>
      </c>
      <c r="F225" s="2" t="str">
        <f t="shared" si="19"/>
        <v>NV11343784RaChiều</v>
      </c>
      <c r="G225" s="52" t="str">
        <f t="shared" si="20"/>
        <v>17:42:07</v>
      </c>
      <c r="H225" s="53" t="str">
        <f t="shared" si="21"/>
        <v>Ra</v>
      </c>
      <c r="I225" s="53" t="str">
        <f t="shared" si="22"/>
        <v>Chiều</v>
      </c>
      <c r="J225" s="53" t="s">
        <v>37</v>
      </c>
      <c r="K225" s="53" t="s">
        <v>103</v>
      </c>
      <c r="L225" s="54">
        <f t="shared" si="23"/>
        <v>43784</v>
      </c>
      <c r="M225" s="54"/>
    </row>
    <row r="226" spans="1:13" s="47" customFormat="1" ht="13.8" x14ac:dyDescent="0.3">
      <c r="A226" s="1" t="s">
        <v>42</v>
      </c>
      <c r="B226" s="3">
        <v>43784.325798611106</v>
      </c>
      <c r="C226" s="2" t="s">
        <v>37</v>
      </c>
      <c r="D226" s="2" t="str">
        <f t="shared" si="18"/>
        <v>NV113</v>
      </c>
      <c r="E226" s="2" t="s">
        <v>0</v>
      </c>
      <c r="F226" s="2" t="str">
        <f t="shared" si="19"/>
        <v>NV11343784VàoSáng</v>
      </c>
      <c r="G226" s="52" t="str">
        <f t="shared" si="20"/>
        <v>07:49:09</v>
      </c>
      <c r="H226" s="53" t="str">
        <f t="shared" si="21"/>
        <v>Vào</v>
      </c>
      <c r="I226" s="53" t="str">
        <f t="shared" si="22"/>
        <v>Sáng</v>
      </c>
      <c r="J226" s="53" t="s">
        <v>39</v>
      </c>
      <c r="K226" s="53" t="s">
        <v>102</v>
      </c>
      <c r="L226" s="54">
        <f t="shared" si="23"/>
        <v>43784</v>
      </c>
      <c r="M226" s="54"/>
    </row>
    <row r="227" spans="1:13" s="47" customFormat="1" ht="13.8" x14ac:dyDescent="0.3">
      <c r="A227" s="1" t="s">
        <v>42</v>
      </c>
      <c r="B227" s="3">
        <v>43783.738217592589</v>
      </c>
      <c r="C227" s="2" t="s">
        <v>37</v>
      </c>
      <c r="D227" s="2" t="str">
        <f t="shared" si="18"/>
        <v>NV113</v>
      </c>
      <c r="E227" s="2" t="s">
        <v>0</v>
      </c>
      <c r="F227" s="2" t="str">
        <f t="shared" si="19"/>
        <v>NV11343783RaChiều</v>
      </c>
      <c r="G227" s="52" t="str">
        <f t="shared" si="20"/>
        <v>17:43:02</v>
      </c>
      <c r="H227" s="53" t="str">
        <f t="shared" si="21"/>
        <v>Ra</v>
      </c>
      <c r="I227" s="53" t="str">
        <f t="shared" si="22"/>
        <v>Chiều</v>
      </c>
      <c r="J227" s="53" t="s">
        <v>37</v>
      </c>
      <c r="K227" s="53" t="s">
        <v>103</v>
      </c>
      <c r="L227" s="54">
        <f t="shared" si="23"/>
        <v>43783</v>
      </c>
      <c r="M227" s="54"/>
    </row>
    <row r="228" spans="1:13" s="47" customFormat="1" ht="13.8" x14ac:dyDescent="0.3">
      <c r="A228" s="1" t="s">
        <v>42</v>
      </c>
      <c r="B228" s="3">
        <v>43783.321331018517</v>
      </c>
      <c r="C228" s="2" t="s">
        <v>37</v>
      </c>
      <c r="D228" s="2" t="str">
        <f t="shared" si="18"/>
        <v>NV113</v>
      </c>
      <c r="E228" s="2" t="s">
        <v>0</v>
      </c>
      <c r="F228" s="2" t="str">
        <f t="shared" si="19"/>
        <v>NV11343783VàoSáng</v>
      </c>
      <c r="G228" s="52" t="str">
        <f t="shared" si="20"/>
        <v>07:42:43</v>
      </c>
      <c r="H228" s="53" t="str">
        <f t="shared" si="21"/>
        <v>Vào</v>
      </c>
      <c r="I228" s="53" t="str">
        <f t="shared" si="22"/>
        <v>Sáng</v>
      </c>
      <c r="J228" s="53" t="s">
        <v>39</v>
      </c>
      <c r="K228" s="53" t="s">
        <v>102</v>
      </c>
      <c r="L228" s="54">
        <f t="shared" si="23"/>
        <v>43783</v>
      </c>
      <c r="M228" s="54"/>
    </row>
    <row r="229" spans="1:13" s="47" customFormat="1" ht="13.8" x14ac:dyDescent="0.3">
      <c r="A229" s="1" t="s">
        <v>42</v>
      </c>
      <c r="B229" s="3">
        <v>43782.734351851846</v>
      </c>
      <c r="C229" s="2" t="s">
        <v>37</v>
      </c>
      <c r="D229" s="2" t="str">
        <f t="shared" si="18"/>
        <v>NV113</v>
      </c>
      <c r="E229" s="2" t="s">
        <v>0</v>
      </c>
      <c r="F229" s="2" t="str">
        <f t="shared" si="19"/>
        <v>NV11343782RaChiều</v>
      </c>
      <c r="G229" s="52" t="str">
        <f t="shared" si="20"/>
        <v>17:37:28</v>
      </c>
      <c r="H229" s="53" t="str">
        <f t="shared" si="21"/>
        <v>Ra</v>
      </c>
      <c r="I229" s="53" t="str">
        <f t="shared" si="22"/>
        <v>Chiều</v>
      </c>
      <c r="J229" s="53" t="s">
        <v>37</v>
      </c>
      <c r="K229" s="53" t="s">
        <v>103</v>
      </c>
      <c r="L229" s="54">
        <f t="shared" si="23"/>
        <v>43782</v>
      </c>
      <c r="M229" s="54"/>
    </row>
    <row r="230" spans="1:13" s="47" customFormat="1" ht="13.8" x14ac:dyDescent="0.3">
      <c r="A230" s="1" t="s">
        <v>42</v>
      </c>
      <c r="B230" s="3">
        <v>43782.324166666665</v>
      </c>
      <c r="C230" s="2" t="s">
        <v>37</v>
      </c>
      <c r="D230" s="2" t="str">
        <f t="shared" si="18"/>
        <v>NV113</v>
      </c>
      <c r="E230" s="2" t="s">
        <v>0</v>
      </c>
      <c r="F230" s="2" t="str">
        <f t="shared" si="19"/>
        <v>NV11343782VàoSáng</v>
      </c>
      <c r="G230" s="52" t="str">
        <f t="shared" si="20"/>
        <v>07:46:48</v>
      </c>
      <c r="H230" s="53" t="str">
        <f t="shared" si="21"/>
        <v>Vào</v>
      </c>
      <c r="I230" s="53" t="str">
        <f t="shared" si="22"/>
        <v>Sáng</v>
      </c>
      <c r="J230" s="53" t="s">
        <v>39</v>
      </c>
      <c r="K230" s="53" t="s">
        <v>102</v>
      </c>
      <c r="L230" s="54">
        <f t="shared" si="23"/>
        <v>43782</v>
      </c>
      <c r="M230" s="54"/>
    </row>
    <row r="231" spans="1:13" s="47" customFormat="1" ht="13.8" x14ac:dyDescent="0.3">
      <c r="A231" s="1" t="s">
        <v>42</v>
      </c>
      <c r="B231" s="3">
        <v>43781.734756944439</v>
      </c>
      <c r="C231" s="2" t="s">
        <v>37</v>
      </c>
      <c r="D231" s="2" t="str">
        <f t="shared" si="18"/>
        <v>NV113</v>
      </c>
      <c r="E231" s="2" t="s">
        <v>0</v>
      </c>
      <c r="F231" s="2" t="str">
        <f t="shared" si="19"/>
        <v>NV11343781RaChiều</v>
      </c>
      <c r="G231" s="52" t="str">
        <f t="shared" si="20"/>
        <v>17:38:03</v>
      </c>
      <c r="H231" s="53" t="str">
        <f t="shared" si="21"/>
        <v>Ra</v>
      </c>
      <c r="I231" s="53" t="str">
        <f t="shared" si="22"/>
        <v>Chiều</v>
      </c>
      <c r="J231" s="53" t="s">
        <v>37</v>
      </c>
      <c r="K231" s="53" t="s">
        <v>103</v>
      </c>
      <c r="L231" s="54">
        <f t="shared" si="23"/>
        <v>43781</v>
      </c>
      <c r="M231" s="54"/>
    </row>
    <row r="232" spans="1:13" s="47" customFormat="1" ht="13.8" x14ac:dyDescent="0.3">
      <c r="A232" s="1" t="s">
        <v>42</v>
      </c>
      <c r="B232" s="3">
        <v>43781.330601851849</v>
      </c>
      <c r="C232" s="2" t="s">
        <v>37</v>
      </c>
      <c r="D232" s="2" t="str">
        <f t="shared" si="18"/>
        <v>NV113</v>
      </c>
      <c r="E232" s="2" t="s">
        <v>0</v>
      </c>
      <c r="F232" s="2" t="str">
        <f t="shared" si="19"/>
        <v>NV11343781VàoSáng</v>
      </c>
      <c r="G232" s="52" t="str">
        <f t="shared" si="20"/>
        <v>07:56:04</v>
      </c>
      <c r="H232" s="53" t="str">
        <f t="shared" si="21"/>
        <v>Vào</v>
      </c>
      <c r="I232" s="53" t="str">
        <f t="shared" si="22"/>
        <v>Sáng</v>
      </c>
      <c r="J232" s="53" t="s">
        <v>39</v>
      </c>
      <c r="K232" s="53" t="s">
        <v>102</v>
      </c>
      <c r="L232" s="54">
        <f t="shared" si="23"/>
        <v>43781</v>
      </c>
      <c r="M232" s="54"/>
    </row>
    <row r="233" spans="1:13" s="47" customFormat="1" ht="13.8" x14ac:dyDescent="0.3">
      <c r="A233" s="1" t="s">
        <v>42</v>
      </c>
      <c r="B233" s="3">
        <v>43780.74145833333</v>
      </c>
      <c r="C233" s="2" t="s">
        <v>37</v>
      </c>
      <c r="D233" s="2" t="str">
        <f t="shared" si="18"/>
        <v>NV113</v>
      </c>
      <c r="E233" s="2" t="s">
        <v>0</v>
      </c>
      <c r="F233" s="2" t="str">
        <f t="shared" si="19"/>
        <v>NV11343780RaChiều</v>
      </c>
      <c r="G233" s="52" t="str">
        <f t="shared" si="20"/>
        <v>17:47:42</v>
      </c>
      <c r="H233" s="53" t="str">
        <f t="shared" si="21"/>
        <v>Ra</v>
      </c>
      <c r="I233" s="53" t="str">
        <f t="shared" si="22"/>
        <v>Chiều</v>
      </c>
      <c r="J233" s="53" t="s">
        <v>37</v>
      </c>
      <c r="K233" s="53" t="s">
        <v>103</v>
      </c>
      <c r="L233" s="54">
        <f t="shared" si="23"/>
        <v>43780</v>
      </c>
      <c r="M233" s="54"/>
    </row>
    <row r="234" spans="1:13" s="47" customFormat="1" ht="13.8" x14ac:dyDescent="0.3">
      <c r="A234" s="1" t="s">
        <v>42</v>
      </c>
      <c r="B234" s="3">
        <v>43780.324363425927</v>
      </c>
      <c r="C234" s="2" t="s">
        <v>37</v>
      </c>
      <c r="D234" s="2" t="str">
        <f t="shared" si="18"/>
        <v>NV113</v>
      </c>
      <c r="E234" s="2" t="s">
        <v>0</v>
      </c>
      <c r="F234" s="2" t="str">
        <f t="shared" si="19"/>
        <v>NV11343780VàoSáng</v>
      </c>
      <c r="G234" s="52" t="str">
        <f t="shared" si="20"/>
        <v>07:47:05</v>
      </c>
      <c r="H234" s="53" t="str">
        <f t="shared" si="21"/>
        <v>Vào</v>
      </c>
      <c r="I234" s="53" t="str">
        <f t="shared" si="22"/>
        <v>Sáng</v>
      </c>
      <c r="J234" s="53" t="s">
        <v>39</v>
      </c>
      <c r="K234" s="53" t="s">
        <v>102</v>
      </c>
      <c r="L234" s="54">
        <f t="shared" si="23"/>
        <v>43780</v>
      </c>
      <c r="M234" s="54"/>
    </row>
    <row r="235" spans="1:13" s="47" customFormat="1" ht="13.8" x14ac:dyDescent="0.3">
      <c r="A235" s="1" t="s">
        <v>42</v>
      </c>
      <c r="B235" s="3">
        <v>43778.732604166667</v>
      </c>
      <c r="C235" s="2" t="s">
        <v>37</v>
      </c>
      <c r="D235" s="2" t="str">
        <f t="shared" si="18"/>
        <v>NV113</v>
      </c>
      <c r="E235" s="2" t="s">
        <v>0</v>
      </c>
      <c r="F235" s="2" t="str">
        <f t="shared" si="19"/>
        <v>NV11343778RaChiều</v>
      </c>
      <c r="G235" s="52" t="str">
        <f t="shared" si="20"/>
        <v>17:34:57</v>
      </c>
      <c r="H235" s="53" t="str">
        <f t="shared" si="21"/>
        <v>Ra</v>
      </c>
      <c r="I235" s="53" t="str">
        <f t="shared" si="22"/>
        <v>Chiều</v>
      </c>
      <c r="J235" s="53" t="s">
        <v>37</v>
      </c>
      <c r="K235" s="53" t="s">
        <v>103</v>
      </c>
      <c r="L235" s="54">
        <f t="shared" si="23"/>
        <v>43778</v>
      </c>
      <c r="M235" s="54"/>
    </row>
    <row r="236" spans="1:13" s="47" customFormat="1" ht="13.8" x14ac:dyDescent="0.3">
      <c r="A236" s="1" t="s">
        <v>42</v>
      </c>
      <c r="B236" s="3">
        <v>43778.332615740735</v>
      </c>
      <c r="C236" s="2" t="s">
        <v>37</v>
      </c>
      <c r="D236" s="2" t="str">
        <f t="shared" si="18"/>
        <v>NV113</v>
      </c>
      <c r="E236" s="2" t="s">
        <v>0</v>
      </c>
      <c r="F236" s="2" t="str">
        <f t="shared" si="19"/>
        <v>NV11343778VàoSáng</v>
      </c>
      <c r="G236" s="52" t="str">
        <f t="shared" si="20"/>
        <v>07:58:58</v>
      </c>
      <c r="H236" s="53" t="str">
        <f t="shared" si="21"/>
        <v>Vào</v>
      </c>
      <c r="I236" s="53" t="str">
        <f t="shared" si="22"/>
        <v>Sáng</v>
      </c>
      <c r="J236" s="53" t="s">
        <v>39</v>
      </c>
      <c r="K236" s="53" t="s">
        <v>102</v>
      </c>
      <c r="L236" s="54">
        <f t="shared" si="23"/>
        <v>43778</v>
      </c>
      <c r="M236" s="54"/>
    </row>
    <row r="237" spans="1:13" s="47" customFormat="1" ht="13.8" x14ac:dyDescent="0.3">
      <c r="A237" s="1" t="s">
        <v>42</v>
      </c>
      <c r="B237" s="3">
        <v>43777.323923611111</v>
      </c>
      <c r="C237" s="2" t="s">
        <v>37</v>
      </c>
      <c r="D237" s="2" t="str">
        <f t="shared" si="18"/>
        <v>NV113</v>
      </c>
      <c r="E237" s="2" t="s">
        <v>0</v>
      </c>
      <c r="F237" s="2" t="str">
        <f t="shared" si="19"/>
        <v>NV11343777VàoSáng</v>
      </c>
      <c r="G237" s="52" t="str">
        <f t="shared" si="20"/>
        <v>07:46:27</v>
      </c>
      <c r="H237" s="53" t="str">
        <f t="shared" si="21"/>
        <v>Vào</v>
      </c>
      <c r="I237" s="53" t="str">
        <f t="shared" si="22"/>
        <v>Sáng</v>
      </c>
      <c r="J237" s="53" t="s">
        <v>39</v>
      </c>
      <c r="K237" s="53" t="s">
        <v>102</v>
      </c>
      <c r="L237" s="54">
        <f t="shared" si="23"/>
        <v>43777</v>
      </c>
      <c r="M237" s="54"/>
    </row>
    <row r="238" spans="1:13" s="47" customFormat="1" ht="13.8" x14ac:dyDescent="0.3">
      <c r="A238" s="1" t="s">
        <v>42</v>
      </c>
      <c r="B238" s="3">
        <v>43776.731053240735</v>
      </c>
      <c r="C238" s="2" t="s">
        <v>37</v>
      </c>
      <c r="D238" s="2" t="str">
        <f t="shared" si="18"/>
        <v>NV113</v>
      </c>
      <c r="E238" s="2" t="s">
        <v>0</v>
      </c>
      <c r="F238" s="2" t="str">
        <f t="shared" si="19"/>
        <v>NV11343776RaChiều</v>
      </c>
      <c r="G238" s="52" t="str">
        <f t="shared" si="20"/>
        <v>17:32:43</v>
      </c>
      <c r="H238" s="53" t="str">
        <f t="shared" si="21"/>
        <v>Ra</v>
      </c>
      <c r="I238" s="53" t="str">
        <f t="shared" si="22"/>
        <v>Chiều</v>
      </c>
      <c r="J238" s="53" t="s">
        <v>37</v>
      </c>
      <c r="K238" s="53" t="s">
        <v>103</v>
      </c>
      <c r="L238" s="54">
        <f t="shared" si="23"/>
        <v>43776</v>
      </c>
      <c r="M238" s="54"/>
    </row>
    <row r="239" spans="1:13" s="47" customFormat="1" ht="13.8" x14ac:dyDescent="0.3">
      <c r="A239" s="1" t="s">
        <v>42</v>
      </c>
      <c r="B239" s="3">
        <v>43776.316874999997</v>
      </c>
      <c r="C239" s="2" t="s">
        <v>37</v>
      </c>
      <c r="D239" s="2" t="str">
        <f t="shared" si="18"/>
        <v>NV113</v>
      </c>
      <c r="E239" s="2" t="s">
        <v>0</v>
      </c>
      <c r="F239" s="2" t="str">
        <f t="shared" si="19"/>
        <v>NV11343776VàoSáng</v>
      </c>
      <c r="G239" s="52" t="str">
        <f t="shared" si="20"/>
        <v>07:36:18</v>
      </c>
      <c r="H239" s="53" t="str">
        <f t="shared" si="21"/>
        <v>Vào</v>
      </c>
      <c r="I239" s="53" t="str">
        <f t="shared" si="22"/>
        <v>Sáng</v>
      </c>
      <c r="J239" s="53" t="s">
        <v>39</v>
      </c>
      <c r="K239" s="53" t="s">
        <v>102</v>
      </c>
      <c r="L239" s="54">
        <f t="shared" si="23"/>
        <v>43776</v>
      </c>
      <c r="M239" s="54"/>
    </row>
    <row r="240" spans="1:13" s="47" customFormat="1" ht="13.8" x14ac:dyDescent="0.3">
      <c r="A240" s="1" t="s">
        <v>42</v>
      </c>
      <c r="B240" s="3">
        <v>43775.732812499999</v>
      </c>
      <c r="C240" s="2" t="s">
        <v>37</v>
      </c>
      <c r="D240" s="2" t="str">
        <f t="shared" si="18"/>
        <v>NV113</v>
      </c>
      <c r="E240" s="2" t="s">
        <v>0</v>
      </c>
      <c r="F240" s="2" t="str">
        <f t="shared" si="19"/>
        <v>NV11343775RaChiều</v>
      </c>
      <c r="G240" s="52" t="str">
        <f t="shared" si="20"/>
        <v>17:35:15</v>
      </c>
      <c r="H240" s="53" t="str">
        <f t="shared" si="21"/>
        <v>Ra</v>
      </c>
      <c r="I240" s="53" t="str">
        <f t="shared" si="22"/>
        <v>Chiều</v>
      </c>
      <c r="J240" s="53" t="s">
        <v>37</v>
      </c>
      <c r="K240" s="53" t="s">
        <v>103</v>
      </c>
      <c r="L240" s="54">
        <f t="shared" si="23"/>
        <v>43775</v>
      </c>
      <c r="M240" s="54"/>
    </row>
    <row r="241" spans="1:13" s="47" customFormat="1" ht="13.8" x14ac:dyDescent="0.3">
      <c r="A241" s="1" t="s">
        <v>42</v>
      </c>
      <c r="B241" s="3">
        <v>43775.31045138889</v>
      </c>
      <c r="C241" s="2" t="s">
        <v>37</v>
      </c>
      <c r="D241" s="2" t="str">
        <f t="shared" si="18"/>
        <v>NV113</v>
      </c>
      <c r="E241" s="2" t="s">
        <v>0</v>
      </c>
      <c r="F241" s="2" t="str">
        <f t="shared" si="19"/>
        <v>NV11343775VàoSáng</v>
      </c>
      <c r="G241" s="52" t="str">
        <f t="shared" si="20"/>
        <v>07:27:03</v>
      </c>
      <c r="H241" s="53" t="str">
        <f t="shared" si="21"/>
        <v>Vào</v>
      </c>
      <c r="I241" s="53" t="str">
        <f t="shared" si="22"/>
        <v>Sáng</v>
      </c>
      <c r="J241" s="53" t="s">
        <v>39</v>
      </c>
      <c r="K241" s="53" t="s">
        <v>102</v>
      </c>
      <c r="L241" s="54">
        <f t="shared" si="23"/>
        <v>43775</v>
      </c>
      <c r="M241" s="54"/>
    </row>
    <row r="242" spans="1:13" s="47" customFormat="1" ht="13.8" x14ac:dyDescent="0.3">
      <c r="A242" s="1" t="s">
        <v>42</v>
      </c>
      <c r="B242" s="3">
        <v>43774.741307870368</v>
      </c>
      <c r="C242" s="2" t="s">
        <v>37</v>
      </c>
      <c r="D242" s="2" t="str">
        <f t="shared" si="18"/>
        <v>NV113</v>
      </c>
      <c r="E242" s="2" t="s">
        <v>0</v>
      </c>
      <c r="F242" s="2" t="str">
        <f t="shared" si="19"/>
        <v>NV11343774RaChiều</v>
      </c>
      <c r="G242" s="52" t="str">
        <f t="shared" si="20"/>
        <v>17:47:29</v>
      </c>
      <c r="H242" s="53" t="str">
        <f t="shared" si="21"/>
        <v>Ra</v>
      </c>
      <c r="I242" s="53" t="str">
        <f t="shared" si="22"/>
        <v>Chiều</v>
      </c>
      <c r="J242" s="53" t="s">
        <v>37</v>
      </c>
      <c r="K242" s="53" t="s">
        <v>103</v>
      </c>
      <c r="L242" s="54">
        <f t="shared" si="23"/>
        <v>43774</v>
      </c>
      <c r="M242" s="54"/>
    </row>
    <row r="243" spans="1:13" s="47" customFormat="1" ht="13.8" x14ac:dyDescent="0.3">
      <c r="A243" s="1" t="s">
        <v>42</v>
      </c>
      <c r="B243" s="3">
        <v>43774.305879629625</v>
      </c>
      <c r="C243" s="2" t="s">
        <v>37</v>
      </c>
      <c r="D243" s="2" t="str">
        <f t="shared" si="18"/>
        <v>NV113</v>
      </c>
      <c r="E243" s="2" t="s">
        <v>0</v>
      </c>
      <c r="F243" s="2" t="str">
        <f t="shared" si="19"/>
        <v>NV11343774VàoSáng</v>
      </c>
      <c r="G243" s="52" t="str">
        <f t="shared" si="20"/>
        <v>07:20:28</v>
      </c>
      <c r="H243" s="53" t="str">
        <f t="shared" si="21"/>
        <v>Vào</v>
      </c>
      <c r="I243" s="53" t="str">
        <f t="shared" si="22"/>
        <v>Sáng</v>
      </c>
      <c r="J243" s="53" t="s">
        <v>39</v>
      </c>
      <c r="K243" s="53" t="s">
        <v>102</v>
      </c>
      <c r="L243" s="54">
        <f t="shared" si="23"/>
        <v>43774</v>
      </c>
      <c r="M243" s="54"/>
    </row>
    <row r="244" spans="1:13" s="47" customFormat="1" ht="13.8" x14ac:dyDescent="0.3">
      <c r="A244" s="1" t="s">
        <v>42</v>
      </c>
      <c r="B244" s="3">
        <v>43773.737905092588</v>
      </c>
      <c r="C244" s="2" t="s">
        <v>37</v>
      </c>
      <c r="D244" s="2" t="str">
        <f t="shared" si="18"/>
        <v>NV113</v>
      </c>
      <c r="E244" s="2" t="s">
        <v>0</v>
      </c>
      <c r="F244" s="2" t="str">
        <f t="shared" si="19"/>
        <v>NV11343773RaChiều</v>
      </c>
      <c r="G244" s="52" t="str">
        <f t="shared" si="20"/>
        <v>17:42:35</v>
      </c>
      <c r="H244" s="53" t="str">
        <f t="shared" si="21"/>
        <v>Ra</v>
      </c>
      <c r="I244" s="53" t="str">
        <f t="shared" si="22"/>
        <v>Chiều</v>
      </c>
      <c r="J244" s="53" t="s">
        <v>37</v>
      </c>
      <c r="K244" s="53" t="s">
        <v>103</v>
      </c>
      <c r="L244" s="54">
        <f t="shared" si="23"/>
        <v>43773</v>
      </c>
      <c r="M244" s="54"/>
    </row>
    <row r="245" spans="1:13" s="47" customFormat="1" ht="13.8" x14ac:dyDescent="0.3">
      <c r="A245" s="1" t="s">
        <v>42</v>
      </c>
      <c r="B245" s="3">
        <v>43773.314340277779</v>
      </c>
      <c r="C245" s="2" t="s">
        <v>37</v>
      </c>
      <c r="D245" s="2" t="str">
        <f t="shared" si="18"/>
        <v>NV113</v>
      </c>
      <c r="E245" s="2" t="s">
        <v>0</v>
      </c>
      <c r="F245" s="2" t="str">
        <f t="shared" si="19"/>
        <v>NV11343773VàoSáng</v>
      </c>
      <c r="G245" s="52" t="str">
        <f t="shared" si="20"/>
        <v>07:32:39</v>
      </c>
      <c r="H245" s="53" t="str">
        <f t="shared" si="21"/>
        <v>Vào</v>
      </c>
      <c r="I245" s="53" t="str">
        <f t="shared" si="22"/>
        <v>Sáng</v>
      </c>
      <c r="J245" s="53" t="s">
        <v>39</v>
      </c>
      <c r="K245" s="53" t="s">
        <v>102</v>
      </c>
      <c r="L245" s="54">
        <f t="shared" si="23"/>
        <v>43773</v>
      </c>
      <c r="M245" s="54"/>
    </row>
    <row r="246" spans="1:13" s="47" customFormat="1" ht="13.8" x14ac:dyDescent="0.3">
      <c r="A246" s="1" t="s">
        <v>42</v>
      </c>
      <c r="B246" s="3">
        <v>43771.732037037036</v>
      </c>
      <c r="C246" s="2" t="s">
        <v>37</v>
      </c>
      <c r="D246" s="2" t="str">
        <f t="shared" si="18"/>
        <v>NV113</v>
      </c>
      <c r="E246" s="2" t="s">
        <v>0</v>
      </c>
      <c r="F246" s="2" t="str">
        <f t="shared" si="19"/>
        <v>NV11343771RaChiều</v>
      </c>
      <c r="G246" s="52" t="str">
        <f t="shared" si="20"/>
        <v>17:34:08</v>
      </c>
      <c r="H246" s="53" t="str">
        <f t="shared" si="21"/>
        <v>Ra</v>
      </c>
      <c r="I246" s="53" t="str">
        <f t="shared" si="22"/>
        <v>Chiều</v>
      </c>
      <c r="J246" s="53" t="s">
        <v>37</v>
      </c>
      <c r="K246" s="53" t="s">
        <v>103</v>
      </c>
      <c r="L246" s="54">
        <f t="shared" si="23"/>
        <v>43771</v>
      </c>
      <c r="M246" s="54"/>
    </row>
    <row r="247" spans="1:13" s="47" customFormat="1" ht="13.8" x14ac:dyDescent="0.3">
      <c r="A247" s="1" t="s">
        <v>42</v>
      </c>
      <c r="B247" s="3">
        <v>43771.31523148148</v>
      </c>
      <c r="C247" s="2" t="s">
        <v>37</v>
      </c>
      <c r="D247" s="2" t="str">
        <f t="shared" si="18"/>
        <v>NV113</v>
      </c>
      <c r="E247" s="2" t="s">
        <v>0</v>
      </c>
      <c r="F247" s="2" t="str">
        <f t="shared" si="19"/>
        <v>NV11343771VàoSáng</v>
      </c>
      <c r="G247" s="52" t="str">
        <f t="shared" si="20"/>
        <v>07:33:56</v>
      </c>
      <c r="H247" s="53" t="str">
        <f t="shared" si="21"/>
        <v>Vào</v>
      </c>
      <c r="I247" s="53" t="str">
        <f t="shared" si="22"/>
        <v>Sáng</v>
      </c>
      <c r="J247" s="53" t="s">
        <v>39</v>
      </c>
      <c r="K247" s="53" t="s">
        <v>102</v>
      </c>
      <c r="L247" s="54">
        <f t="shared" si="23"/>
        <v>43771</v>
      </c>
      <c r="M247" s="54"/>
    </row>
    <row r="248" spans="1:13" s="47" customFormat="1" ht="13.8" x14ac:dyDescent="0.3">
      <c r="A248" s="1" t="s">
        <v>42</v>
      </c>
      <c r="B248" s="3">
        <v>43770.737592592588</v>
      </c>
      <c r="C248" s="2" t="s">
        <v>37</v>
      </c>
      <c r="D248" s="2" t="str">
        <f t="shared" si="18"/>
        <v>NV113</v>
      </c>
      <c r="E248" s="2" t="s">
        <v>0</v>
      </c>
      <c r="F248" s="2" t="str">
        <f t="shared" si="19"/>
        <v>NV11343770RaChiều</v>
      </c>
      <c r="G248" s="52" t="str">
        <f t="shared" si="20"/>
        <v>17:42:08</v>
      </c>
      <c r="H248" s="53" t="str">
        <f t="shared" si="21"/>
        <v>Ra</v>
      </c>
      <c r="I248" s="53" t="str">
        <f t="shared" si="22"/>
        <v>Chiều</v>
      </c>
      <c r="J248" s="53" t="s">
        <v>37</v>
      </c>
      <c r="K248" s="53" t="s">
        <v>103</v>
      </c>
      <c r="L248" s="54">
        <f t="shared" si="23"/>
        <v>43770</v>
      </c>
      <c r="M248" s="54"/>
    </row>
    <row r="249" spans="1:13" s="47" customFormat="1" ht="13.8" x14ac:dyDescent="0.3">
      <c r="A249" s="1" t="s">
        <v>42</v>
      </c>
      <c r="B249" s="3">
        <v>43770.310752314814</v>
      </c>
      <c r="C249" s="2" t="s">
        <v>37</v>
      </c>
      <c r="D249" s="2" t="str">
        <f t="shared" si="18"/>
        <v>NV113</v>
      </c>
      <c r="E249" s="2" t="s">
        <v>0</v>
      </c>
      <c r="F249" s="2" t="str">
        <f t="shared" si="19"/>
        <v>NV11343770VàoSáng</v>
      </c>
      <c r="G249" s="52" t="str">
        <f t="shared" si="20"/>
        <v>07:27:29</v>
      </c>
      <c r="H249" s="53" t="str">
        <f t="shared" si="21"/>
        <v>Vào</v>
      </c>
      <c r="I249" s="53" t="str">
        <f t="shared" si="22"/>
        <v>Sáng</v>
      </c>
      <c r="J249" s="53" t="s">
        <v>39</v>
      </c>
      <c r="K249" s="53" t="s">
        <v>102</v>
      </c>
      <c r="L249" s="54">
        <f t="shared" si="23"/>
        <v>43770</v>
      </c>
      <c r="M249" s="54"/>
    </row>
    <row r="250" spans="1:13" s="47" customFormat="1" ht="13.8" x14ac:dyDescent="0.3">
      <c r="A250" s="1" t="s">
        <v>43</v>
      </c>
      <c r="B250" s="3">
        <v>43799.730960648143</v>
      </c>
      <c r="C250" s="2" t="s">
        <v>37</v>
      </c>
      <c r="D250" s="2" t="str">
        <f t="shared" si="18"/>
        <v>NV114</v>
      </c>
      <c r="E250" s="2" t="s">
        <v>0</v>
      </c>
      <c r="F250" s="2" t="str">
        <f t="shared" si="19"/>
        <v>NV11443799RaChiều</v>
      </c>
      <c r="G250" s="52" t="str">
        <f t="shared" si="20"/>
        <v>17:32:35</v>
      </c>
      <c r="H250" s="53" t="str">
        <f t="shared" si="21"/>
        <v>Ra</v>
      </c>
      <c r="I250" s="53" t="str">
        <f t="shared" si="22"/>
        <v>Chiều</v>
      </c>
      <c r="J250" s="53" t="s">
        <v>37</v>
      </c>
      <c r="K250" s="53" t="s">
        <v>103</v>
      </c>
      <c r="L250" s="54">
        <f t="shared" si="23"/>
        <v>43799</v>
      </c>
      <c r="M250" s="54"/>
    </row>
    <row r="251" spans="1:13" s="47" customFormat="1" ht="13.8" x14ac:dyDescent="0.3">
      <c r="A251" s="1" t="s">
        <v>43</v>
      </c>
      <c r="B251" s="3">
        <v>43799.337696759256</v>
      </c>
      <c r="C251" s="2" t="s">
        <v>37</v>
      </c>
      <c r="D251" s="2" t="str">
        <f t="shared" si="18"/>
        <v>NV114</v>
      </c>
      <c r="E251" s="2" t="s">
        <v>0</v>
      </c>
      <c r="F251" s="2" t="str">
        <f t="shared" si="19"/>
        <v>NV11443799VàoSáng</v>
      </c>
      <c r="G251" s="52" t="str">
        <f t="shared" si="20"/>
        <v>08:06:17</v>
      </c>
      <c r="H251" s="53" t="str">
        <f t="shared" si="21"/>
        <v>Vào</v>
      </c>
      <c r="I251" s="53" t="str">
        <f t="shared" si="22"/>
        <v>Sáng</v>
      </c>
      <c r="J251" s="53" t="s">
        <v>39</v>
      </c>
      <c r="K251" s="53" t="s">
        <v>102</v>
      </c>
      <c r="L251" s="54">
        <f t="shared" si="23"/>
        <v>43799</v>
      </c>
      <c r="M251" s="54"/>
    </row>
    <row r="252" spans="1:13" s="47" customFormat="1" ht="13.8" x14ac:dyDescent="0.3">
      <c r="A252" s="1" t="s">
        <v>43</v>
      </c>
      <c r="B252" s="3">
        <v>43798.736585648148</v>
      </c>
      <c r="C252" s="2" t="s">
        <v>37</v>
      </c>
      <c r="D252" s="2" t="str">
        <f t="shared" si="18"/>
        <v>NV114</v>
      </c>
      <c r="E252" s="2" t="s">
        <v>0</v>
      </c>
      <c r="F252" s="2" t="str">
        <f t="shared" si="19"/>
        <v>NV11443798RaChiều</v>
      </c>
      <c r="G252" s="52" t="str">
        <f t="shared" si="20"/>
        <v>17:40:41</v>
      </c>
      <c r="H252" s="53" t="str">
        <f t="shared" si="21"/>
        <v>Ra</v>
      </c>
      <c r="I252" s="53" t="str">
        <f t="shared" si="22"/>
        <v>Chiều</v>
      </c>
      <c r="J252" s="53" t="s">
        <v>37</v>
      </c>
      <c r="K252" s="53" t="s">
        <v>103</v>
      </c>
      <c r="L252" s="54">
        <f t="shared" si="23"/>
        <v>43798</v>
      </c>
      <c r="M252" s="54"/>
    </row>
    <row r="253" spans="1:13" s="47" customFormat="1" ht="13.8" x14ac:dyDescent="0.3">
      <c r="A253" s="1" t="s">
        <v>43</v>
      </c>
      <c r="B253" s="3">
        <v>43798.734791666662</v>
      </c>
      <c r="C253" s="2" t="s">
        <v>37</v>
      </c>
      <c r="D253" s="2" t="str">
        <f t="shared" si="18"/>
        <v>NV114</v>
      </c>
      <c r="E253" s="2" t="s">
        <v>0</v>
      </c>
      <c r="F253" s="2" t="str">
        <f t="shared" si="19"/>
        <v>NV11443798RaChiều</v>
      </c>
      <c r="G253" s="52" t="str">
        <f t="shared" si="20"/>
        <v>17:38:06</v>
      </c>
      <c r="H253" s="53" t="str">
        <f t="shared" si="21"/>
        <v>Ra</v>
      </c>
      <c r="I253" s="53" t="str">
        <f t="shared" si="22"/>
        <v>Chiều</v>
      </c>
      <c r="J253" s="53" t="s">
        <v>37</v>
      </c>
      <c r="K253" s="53" t="s">
        <v>103</v>
      </c>
      <c r="L253" s="54">
        <f t="shared" si="23"/>
        <v>43798</v>
      </c>
      <c r="M253" s="54"/>
    </row>
    <row r="254" spans="1:13" s="47" customFormat="1" ht="13.8" x14ac:dyDescent="0.3">
      <c r="A254" s="1" t="s">
        <v>43</v>
      </c>
      <c r="B254" s="3">
        <v>43798.33394675926</v>
      </c>
      <c r="C254" s="2" t="s">
        <v>37</v>
      </c>
      <c r="D254" s="2" t="str">
        <f t="shared" si="18"/>
        <v>NV114</v>
      </c>
      <c r="E254" s="2" t="s">
        <v>0</v>
      </c>
      <c r="F254" s="2" t="str">
        <f t="shared" si="19"/>
        <v>NV11443798VàoSáng</v>
      </c>
      <c r="G254" s="52" t="str">
        <f t="shared" si="20"/>
        <v>08:00:53</v>
      </c>
      <c r="H254" s="53" t="str">
        <f t="shared" si="21"/>
        <v>Vào</v>
      </c>
      <c r="I254" s="53" t="str">
        <f t="shared" si="22"/>
        <v>Sáng</v>
      </c>
      <c r="J254" s="53" t="s">
        <v>39</v>
      </c>
      <c r="K254" s="53" t="s">
        <v>102</v>
      </c>
      <c r="L254" s="54">
        <f t="shared" si="23"/>
        <v>43798</v>
      </c>
      <c r="M254" s="54"/>
    </row>
    <row r="255" spans="1:13" s="47" customFormat="1" ht="13.8" x14ac:dyDescent="0.3">
      <c r="A255" s="1" t="s">
        <v>43</v>
      </c>
      <c r="B255" s="3">
        <v>43797.733032407406</v>
      </c>
      <c r="C255" s="2" t="s">
        <v>37</v>
      </c>
      <c r="D255" s="2" t="str">
        <f t="shared" si="18"/>
        <v>NV114</v>
      </c>
      <c r="E255" s="2" t="s">
        <v>0</v>
      </c>
      <c r="F255" s="2" t="str">
        <f t="shared" si="19"/>
        <v>NV11443797RaChiều</v>
      </c>
      <c r="G255" s="52" t="str">
        <f t="shared" si="20"/>
        <v>17:35:34</v>
      </c>
      <c r="H255" s="53" t="str">
        <f t="shared" si="21"/>
        <v>Ra</v>
      </c>
      <c r="I255" s="53" t="str">
        <f t="shared" si="22"/>
        <v>Chiều</v>
      </c>
      <c r="J255" s="53" t="s">
        <v>37</v>
      </c>
      <c r="K255" s="53" t="s">
        <v>103</v>
      </c>
      <c r="L255" s="54">
        <f t="shared" si="23"/>
        <v>43797</v>
      </c>
      <c r="M255" s="54"/>
    </row>
    <row r="256" spans="1:13" s="47" customFormat="1" ht="13.8" x14ac:dyDescent="0.3">
      <c r="A256" s="1" t="s">
        <v>43</v>
      </c>
      <c r="B256" s="3">
        <v>43792.731516203705</v>
      </c>
      <c r="C256" s="2" t="s">
        <v>37</v>
      </c>
      <c r="D256" s="2" t="str">
        <f t="shared" si="18"/>
        <v>NV114</v>
      </c>
      <c r="E256" s="2" t="s">
        <v>0</v>
      </c>
      <c r="F256" s="2" t="str">
        <f t="shared" si="19"/>
        <v>NV11443792RaChiều</v>
      </c>
      <c r="G256" s="52" t="str">
        <f t="shared" si="20"/>
        <v>17:33:23</v>
      </c>
      <c r="H256" s="53" t="str">
        <f t="shared" si="21"/>
        <v>Ra</v>
      </c>
      <c r="I256" s="53" t="str">
        <f t="shared" si="22"/>
        <v>Chiều</v>
      </c>
      <c r="J256" s="53" t="s">
        <v>37</v>
      </c>
      <c r="K256" s="53" t="s">
        <v>103</v>
      </c>
      <c r="L256" s="54">
        <f t="shared" si="23"/>
        <v>43792</v>
      </c>
      <c r="M256" s="54"/>
    </row>
    <row r="257" spans="1:13" s="47" customFormat="1" ht="13.8" x14ac:dyDescent="0.3">
      <c r="A257" s="1" t="s">
        <v>43</v>
      </c>
      <c r="B257" s="3">
        <v>43792.337731481479</v>
      </c>
      <c r="C257" s="2" t="s">
        <v>37</v>
      </c>
      <c r="D257" s="2" t="str">
        <f t="shared" si="18"/>
        <v>NV114</v>
      </c>
      <c r="E257" s="2" t="s">
        <v>0</v>
      </c>
      <c r="F257" s="2" t="str">
        <f t="shared" si="19"/>
        <v>NV11443792VàoSáng</v>
      </c>
      <c r="G257" s="52" t="str">
        <f t="shared" si="20"/>
        <v>08:06:20</v>
      </c>
      <c r="H257" s="53" t="str">
        <f t="shared" si="21"/>
        <v>Vào</v>
      </c>
      <c r="I257" s="53" t="str">
        <f t="shared" si="22"/>
        <v>Sáng</v>
      </c>
      <c r="J257" s="53" t="s">
        <v>39</v>
      </c>
      <c r="K257" s="53" t="s">
        <v>102</v>
      </c>
      <c r="L257" s="54">
        <f t="shared" si="23"/>
        <v>43792</v>
      </c>
      <c r="M257" s="54"/>
    </row>
    <row r="258" spans="1:13" s="47" customFormat="1" ht="13.8" x14ac:dyDescent="0.3">
      <c r="A258" s="1" t="s">
        <v>43</v>
      </c>
      <c r="B258" s="3">
        <v>43791.732546296298</v>
      </c>
      <c r="C258" s="2" t="s">
        <v>37</v>
      </c>
      <c r="D258" s="2" t="str">
        <f t="shared" si="18"/>
        <v>NV114</v>
      </c>
      <c r="E258" s="2" t="s">
        <v>0</v>
      </c>
      <c r="F258" s="2" t="str">
        <f t="shared" si="19"/>
        <v>NV11443791RaChiều</v>
      </c>
      <c r="G258" s="52" t="str">
        <f t="shared" si="20"/>
        <v>17:34:52</v>
      </c>
      <c r="H258" s="53" t="str">
        <f t="shared" si="21"/>
        <v>Ra</v>
      </c>
      <c r="I258" s="53" t="str">
        <f t="shared" si="22"/>
        <v>Chiều</v>
      </c>
      <c r="J258" s="53" t="s">
        <v>37</v>
      </c>
      <c r="K258" s="53" t="s">
        <v>103</v>
      </c>
      <c r="L258" s="54">
        <f t="shared" si="23"/>
        <v>43791</v>
      </c>
      <c r="M258" s="54"/>
    </row>
    <row r="259" spans="1:13" s="47" customFormat="1" ht="13.8" x14ac:dyDescent="0.3">
      <c r="A259" s="1" t="s">
        <v>43</v>
      </c>
      <c r="B259" s="3">
        <v>43791.335729166662</v>
      </c>
      <c r="C259" s="2" t="s">
        <v>37</v>
      </c>
      <c r="D259" s="2" t="str">
        <f t="shared" si="18"/>
        <v>NV114</v>
      </c>
      <c r="E259" s="2" t="s">
        <v>0</v>
      </c>
      <c r="F259" s="2" t="str">
        <f t="shared" si="19"/>
        <v>NV11443791VàoSáng</v>
      </c>
      <c r="G259" s="52" t="str">
        <f t="shared" si="20"/>
        <v>08:03:27</v>
      </c>
      <c r="H259" s="53" t="str">
        <f t="shared" si="21"/>
        <v>Vào</v>
      </c>
      <c r="I259" s="53" t="str">
        <f t="shared" si="22"/>
        <v>Sáng</v>
      </c>
      <c r="J259" s="53" t="s">
        <v>39</v>
      </c>
      <c r="K259" s="53" t="s">
        <v>102</v>
      </c>
      <c r="L259" s="54">
        <f t="shared" si="23"/>
        <v>43791</v>
      </c>
      <c r="M259" s="54"/>
    </row>
    <row r="260" spans="1:13" s="47" customFormat="1" ht="13.8" x14ac:dyDescent="0.3">
      <c r="A260" s="1" t="s">
        <v>43</v>
      </c>
      <c r="B260" s="3">
        <v>43790.730717592589</v>
      </c>
      <c r="C260" s="2" t="s">
        <v>37</v>
      </c>
      <c r="D260" s="2" t="str">
        <f t="shared" si="18"/>
        <v>NV114</v>
      </c>
      <c r="E260" s="2" t="s">
        <v>0</v>
      </c>
      <c r="F260" s="2" t="str">
        <f t="shared" si="19"/>
        <v>NV11443790RaChiều</v>
      </c>
      <c r="G260" s="52" t="str">
        <f t="shared" si="20"/>
        <v>17:32:14</v>
      </c>
      <c r="H260" s="53" t="str">
        <f t="shared" si="21"/>
        <v>Ra</v>
      </c>
      <c r="I260" s="53" t="str">
        <f t="shared" si="22"/>
        <v>Chiều</v>
      </c>
      <c r="J260" s="53" t="s">
        <v>37</v>
      </c>
      <c r="K260" s="53" t="s">
        <v>103</v>
      </c>
      <c r="L260" s="54">
        <f t="shared" si="23"/>
        <v>43790</v>
      </c>
      <c r="M260" s="54"/>
    </row>
    <row r="261" spans="1:13" s="47" customFormat="1" ht="13.8" x14ac:dyDescent="0.3">
      <c r="A261" s="1" t="s">
        <v>43</v>
      </c>
      <c r="B261" s="3">
        <v>43790.331828703704</v>
      </c>
      <c r="C261" s="2" t="s">
        <v>37</v>
      </c>
      <c r="D261" s="2" t="str">
        <f t="shared" si="18"/>
        <v>NV114</v>
      </c>
      <c r="E261" s="2" t="s">
        <v>0</v>
      </c>
      <c r="F261" s="2" t="str">
        <f t="shared" si="19"/>
        <v>NV11443790VàoSáng</v>
      </c>
      <c r="G261" s="52" t="str">
        <f t="shared" si="20"/>
        <v>07:57:50</v>
      </c>
      <c r="H261" s="53" t="str">
        <f t="shared" si="21"/>
        <v>Vào</v>
      </c>
      <c r="I261" s="53" t="str">
        <f t="shared" si="22"/>
        <v>Sáng</v>
      </c>
      <c r="J261" s="53" t="s">
        <v>39</v>
      </c>
      <c r="K261" s="53" t="s">
        <v>102</v>
      </c>
      <c r="L261" s="54">
        <f t="shared" si="23"/>
        <v>43790</v>
      </c>
      <c r="M261" s="54"/>
    </row>
    <row r="262" spans="1:13" s="47" customFormat="1" ht="13.8" x14ac:dyDescent="0.3">
      <c r="A262" s="1" t="s">
        <v>43</v>
      </c>
      <c r="B262" s="3">
        <v>43789.731631944444</v>
      </c>
      <c r="C262" s="2" t="s">
        <v>37</v>
      </c>
      <c r="D262" s="2" t="str">
        <f t="shared" ref="D262:D325" si="24">"NV"&amp;A262</f>
        <v>NV114</v>
      </c>
      <c r="E262" s="2" t="s">
        <v>0</v>
      </c>
      <c r="F262" s="2" t="str">
        <f t="shared" ref="F262:F325" si="25">D262&amp;L262&amp;J262&amp;K262</f>
        <v>NV11443789RaChiều</v>
      </c>
      <c r="G262" s="52" t="str">
        <f t="shared" si="20"/>
        <v>17:33:33</v>
      </c>
      <c r="H262" s="53" t="str">
        <f t="shared" si="21"/>
        <v>Ra</v>
      </c>
      <c r="I262" s="53" t="str">
        <f t="shared" si="22"/>
        <v>Chiều</v>
      </c>
      <c r="J262" s="53" t="s">
        <v>37</v>
      </c>
      <c r="K262" s="53" t="s">
        <v>103</v>
      </c>
      <c r="L262" s="54">
        <f t="shared" si="23"/>
        <v>43789</v>
      </c>
      <c r="M262" s="54"/>
    </row>
    <row r="263" spans="1:13" s="47" customFormat="1" ht="13.8" x14ac:dyDescent="0.3">
      <c r="A263" s="1" t="s">
        <v>43</v>
      </c>
      <c r="B263" s="3">
        <v>43789.33520833333</v>
      </c>
      <c r="C263" s="2" t="s">
        <v>37</v>
      </c>
      <c r="D263" s="2" t="str">
        <f t="shared" si="24"/>
        <v>NV114</v>
      </c>
      <c r="E263" s="2" t="s">
        <v>0</v>
      </c>
      <c r="F263" s="2" t="str">
        <f t="shared" si="25"/>
        <v>NV11443789VàoSáng</v>
      </c>
      <c r="G263" s="52" t="str">
        <f t="shared" ref="G263:G326" si="26">TEXT(TIME(HOUR(B263),MINUTE(B263),SECOND(B263)),"hh:mm:ss")</f>
        <v>08:02:42</v>
      </c>
      <c r="H263" s="53" t="str">
        <f t="shared" ref="H263:H326" si="27">IF(AND(I263="Sáng",G263&lt;"11:00:00",G263&gt;="07:00:00"),"Vào",
IF(AND(I263="Sáng",G263&lt;"13:00:00",G263&gt;="11:00:00"),"Ra",
IF(AND(I263="Chiều",G263&lt;"16:00:00",G263&gt;="13:00:00"),"Vào",
IF(AND(I263="Chiều",G263&lt;"20:00:00",G263&gt;="16:00:00"),"Ra"))))</f>
        <v>Vào</v>
      </c>
      <c r="I263" s="53" t="str">
        <f t="shared" ref="I263:I326" si="28">IF(G263&lt;="12:30:00","Sáng","Chiều")</f>
        <v>Sáng</v>
      </c>
      <c r="J263" s="53" t="s">
        <v>39</v>
      </c>
      <c r="K263" s="53" t="s">
        <v>102</v>
      </c>
      <c r="L263" s="54">
        <f t="shared" ref="L263:L326" si="29">DATE(YEAR(B263),MONTH(B263),DAY(B263))</f>
        <v>43789</v>
      </c>
      <c r="M263" s="54"/>
    </row>
    <row r="264" spans="1:13" s="47" customFormat="1" ht="13.8" x14ac:dyDescent="0.3">
      <c r="A264" s="1" t="s">
        <v>43</v>
      </c>
      <c r="B264" s="3">
        <v>43787.732164351852</v>
      </c>
      <c r="C264" s="2" t="s">
        <v>37</v>
      </c>
      <c r="D264" s="2" t="str">
        <f t="shared" si="24"/>
        <v>NV114</v>
      </c>
      <c r="E264" s="2" t="s">
        <v>0</v>
      </c>
      <c r="F264" s="2" t="str">
        <f t="shared" si="25"/>
        <v>NV11443787RaChiều</v>
      </c>
      <c r="G264" s="52" t="str">
        <f t="shared" si="26"/>
        <v>17:34:19</v>
      </c>
      <c r="H264" s="53" t="str">
        <f t="shared" si="27"/>
        <v>Ra</v>
      </c>
      <c r="I264" s="53" t="str">
        <f t="shared" si="28"/>
        <v>Chiều</v>
      </c>
      <c r="J264" s="53" t="s">
        <v>37</v>
      </c>
      <c r="K264" s="53" t="s">
        <v>103</v>
      </c>
      <c r="L264" s="54">
        <f t="shared" si="29"/>
        <v>43787</v>
      </c>
      <c r="M264" s="54"/>
    </row>
    <row r="265" spans="1:13" s="47" customFormat="1" ht="13.8" x14ac:dyDescent="0.3">
      <c r="A265" s="1" t="s">
        <v>43</v>
      </c>
      <c r="B265" s="3">
        <v>43787.333819444444</v>
      </c>
      <c r="C265" s="2" t="s">
        <v>37</v>
      </c>
      <c r="D265" s="2" t="str">
        <f t="shared" si="24"/>
        <v>NV114</v>
      </c>
      <c r="E265" s="2" t="s">
        <v>0</v>
      </c>
      <c r="F265" s="2" t="str">
        <f t="shared" si="25"/>
        <v>NV11443787VàoSáng</v>
      </c>
      <c r="G265" s="52" t="str">
        <f t="shared" si="26"/>
        <v>08:00:42</v>
      </c>
      <c r="H265" s="53" t="str">
        <f t="shared" si="27"/>
        <v>Vào</v>
      </c>
      <c r="I265" s="53" t="str">
        <f t="shared" si="28"/>
        <v>Sáng</v>
      </c>
      <c r="J265" s="53" t="s">
        <v>39</v>
      </c>
      <c r="K265" s="53" t="s">
        <v>102</v>
      </c>
      <c r="L265" s="54">
        <f t="shared" si="29"/>
        <v>43787</v>
      </c>
      <c r="M265" s="54"/>
    </row>
    <row r="266" spans="1:13" s="47" customFormat="1" ht="13.8" x14ac:dyDescent="0.3">
      <c r="A266" s="1" t="s">
        <v>43</v>
      </c>
      <c r="B266" s="3">
        <v>43785.502210648148</v>
      </c>
      <c r="C266" s="2" t="s">
        <v>37</v>
      </c>
      <c r="D266" s="2" t="str">
        <f t="shared" si="24"/>
        <v>NV114</v>
      </c>
      <c r="E266" s="2" t="s">
        <v>0</v>
      </c>
      <c r="F266" s="2" t="str">
        <f t="shared" si="25"/>
        <v>NV11443785RaSáng</v>
      </c>
      <c r="G266" s="52" t="str">
        <f t="shared" si="26"/>
        <v>12:03:11</v>
      </c>
      <c r="H266" s="53" t="str">
        <f t="shared" si="27"/>
        <v>Ra</v>
      </c>
      <c r="I266" s="53" t="str">
        <f t="shared" si="28"/>
        <v>Sáng</v>
      </c>
      <c r="J266" s="53" t="s">
        <v>37</v>
      </c>
      <c r="K266" s="53" t="s">
        <v>102</v>
      </c>
      <c r="L266" s="54">
        <f t="shared" si="29"/>
        <v>43785</v>
      </c>
      <c r="M266" s="54"/>
    </row>
    <row r="267" spans="1:13" s="47" customFormat="1" ht="13.8" x14ac:dyDescent="0.3">
      <c r="A267" s="1" t="s">
        <v>43</v>
      </c>
      <c r="B267" s="3">
        <v>43785.336597222224</v>
      </c>
      <c r="C267" s="2" t="s">
        <v>37</v>
      </c>
      <c r="D267" s="2" t="str">
        <f t="shared" si="24"/>
        <v>NV114</v>
      </c>
      <c r="E267" s="2" t="s">
        <v>0</v>
      </c>
      <c r="F267" s="2" t="str">
        <f t="shared" si="25"/>
        <v>NV11443785VàoSáng</v>
      </c>
      <c r="G267" s="52" t="str">
        <f t="shared" si="26"/>
        <v>08:04:42</v>
      </c>
      <c r="H267" s="53" t="str">
        <f t="shared" si="27"/>
        <v>Vào</v>
      </c>
      <c r="I267" s="53" t="str">
        <f t="shared" si="28"/>
        <v>Sáng</v>
      </c>
      <c r="J267" s="53" t="s">
        <v>39</v>
      </c>
      <c r="K267" s="53" t="s">
        <v>102</v>
      </c>
      <c r="L267" s="54">
        <f t="shared" si="29"/>
        <v>43785</v>
      </c>
      <c r="M267" s="54"/>
    </row>
    <row r="268" spans="1:13" s="47" customFormat="1" ht="13.8" x14ac:dyDescent="0.3">
      <c r="A268" s="1" t="s">
        <v>43</v>
      </c>
      <c r="B268" s="3">
        <v>43784.732592592591</v>
      </c>
      <c r="C268" s="2" t="s">
        <v>37</v>
      </c>
      <c r="D268" s="2" t="str">
        <f t="shared" si="24"/>
        <v>NV114</v>
      </c>
      <c r="E268" s="2" t="s">
        <v>0</v>
      </c>
      <c r="F268" s="2" t="str">
        <f t="shared" si="25"/>
        <v>NV11443784RaChiều</v>
      </c>
      <c r="G268" s="52" t="str">
        <f t="shared" si="26"/>
        <v>17:34:56</v>
      </c>
      <c r="H268" s="53" t="str">
        <f t="shared" si="27"/>
        <v>Ra</v>
      </c>
      <c r="I268" s="53" t="str">
        <f t="shared" si="28"/>
        <v>Chiều</v>
      </c>
      <c r="J268" s="53" t="s">
        <v>37</v>
      </c>
      <c r="K268" s="53" t="s">
        <v>103</v>
      </c>
      <c r="L268" s="54">
        <f t="shared" si="29"/>
        <v>43784</v>
      </c>
      <c r="M268" s="54"/>
    </row>
    <row r="269" spans="1:13" s="47" customFormat="1" ht="13.8" x14ac:dyDescent="0.3">
      <c r="A269" s="1" t="s">
        <v>43</v>
      </c>
      <c r="B269" s="3">
        <v>43784.332071759258</v>
      </c>
      <c r="C269" s="2" t="s">
        <v>37</v>
      </c>
      <c r="D269" s="2" t="str">
        <f t="shared" si="24"/>
        <v>NV114</v>
      </c>
      <c r="E269" s="2" t="s">
        <v>0</v>
      </c>
      <c r="F269" s="2" t="str">
        <f t="shared" si="25"/>
        <v>NV11443784VàoSáng</v>
      </c>
      <c r="G269" s="52" t="str">
        <f t="shared" si="26"/>
        <v>07:58:11</v>
      </c>
      <c r="H269" s="53" t="str">
        <f t="shared" si="27"/>
        <v>Vào</v>
      </c>
      <c r="I269" s="53" t="str">
        <f t="shared" si="28"/>
        <v>Sáng</v>
      </c>
      <c r="J269" s="53" t="s">
        <v>39</v>
      </c>
      <c r="K269" s="53" t="s">
        <v>102</v>
      </c>
      <c r="L269" s="54">
        <f t="shared" si="29"/>
        <v>43784</v>
      </c>
      <c r="M269" s="54"/>
    </row>
    <row r="270" spans="1:13" s="47" customFormat="1" ht="13.8" x14ac:dyDescent="0.3">
      <c r="A270" s="1" t="s">
        <v>43</v>
      </c>
      <c r="B270" s="3">
        <v>43783.733483796292</v>
      </c>
      <c r="C270" s="2" t="s">
        <v>37</v>
      </c>
      <c r="D270" s="2" t="str">
        <f t="shared" si="24"/>
        <v>NV114</v>
      </c>
      <c r="E270" s="2" t="s">
        <v>0</v>
      </c>
      <c r="F270" s="2" t="str">
        <f t="shared" si="25"/>
        <v>NV11443783RaChiều</v>
      </c>
      <c r="G270" s="52" t="str">
        <f t="shared" si="26"/>
        <v>17:36:13</v>
      </c>
      <c r="H270" s="53" t="str">
        <f t="shared" si="27"/>
        <v>Ra</v>
      </c>
      <c r="I270" s="53" t="str">
        <f t="shared" si="28"/>
        <v>Chiều</v>
      </c>
      <c r="J270" s="53" t="s">
        <v>37</v>
      </c>
      <c r="K270" s="53" t="s">
        <v>103</v>
      </c>
      <c r="L270" s="54">
        <f t="shared" si="29"/>
        <v>43783</v>
      </c>
      <c r="M270" s="54"/>
    </row>
    <row r="271" spans="1:13" s="47" customFormat="1" ht="13.8" x14ac:dyDescent="0.3">
      <c r="A271" s="1" t="s">
        <v>43</v>
      </c>
      <c r="B271" s="3">
        <v>43783.336145833331</v>
      </c>
      <c r="C271" s="2" t="s">
        <v>37</v>
      </c>
      <c r="D271" s="2" t="str">
        <f t="shared" si="24"/>
        <v>NV114</v>
      </c>
      <c r="E271" s="2" t="s">
        <v>0</v>
      </c>
      <c r="F271" s="2" t="str">
        <f t="shared" si="25"/>
        <v>NV11443783VàoSáng</v>
      </c>
      <c r="G271" s="52" t="str">
        <f t="shared" si="26"/>
        <v>08:04:03</v>
      </c>
      <c r="H271" s="53" t="str">
        <f t="shared" si="27"/>
        <v>Vào</v>
      </c>
      <c r="I271" s="53" t="str">
        <f t="shared" si="28"/>
        <v>Sáng</v>
      </c>
      <c r="J271" s="53" t="s">
        <v>39</v>
      </c>
      <c r="K271" s="53" t="s">
        <v>102</v>
      </c>
      <c r="L271" s="54">
        <f t="shared" si="29"/>
        <v>43783</v>
      </c>
      <c r="M271" s="54"/>
    </row>
    <row r="272" spans="1:13" s="47" customFormat="1" ht="13.8" x14ac:dyDescent="0.3">
      <c r="A272" s="1" t="s">
        <v>43</v>
      </c>
      <c r="B272" s="3">
        <v>43782.731365740736</v>
      </c>
      <c r="C272" s="2" t="s">
        <v>37</v>
      </c>
      <c r="D272" s="2" t="str">
        <f t="shared" si="24"/>
        <v>NV114</v>
      </c>
      <c r="E272" s="2" t="s">
        <v>0</v>
      </c>
      <c r="F272" s="2" t="str">
        <f t="shared" si="25"/>
        <v>NV11443782RaChiều</v>
      </c>
      <c r="G272" s="52" t="str">
        <f t="shared" si="26"/>
        <v>17:33:10</v>
      </c>
      <c r="H272" s="53" t="str">
        <f t="shared" si="27"/>
        <v>Ra</v>
      </c>
      <c r="I272" s="53" t="str">
        <f t="shared" si="28"/>
        <v>Chiều</v>
      </c>
      <c r="J272" s="53" t="s">
        <v>37</v>
      </c>
      <c r="K272" s="53" t="s">
        <v>103</v>
      </c>
      <c r="L272" s="54">
        <f t="shared" si="29"/>
        <v>43782</v>
      </c>
      <c r="M272" s="54"/>
    </row>
    <row r="273" spans="1:13" s="47" customFormat="1" ht="13.8" x14ac:dyDescent="0.3">
      <c r="A273" s="1" t="s">
        <v>43</v>
      </c>
      <c r="B273" s="3">
        <v>43782.333819444444</v>
      </c>
      <c r="C273" s="2" t="s">
        <v>37</v>
      </c>
      <c r="D273" s="2" t="str">
        <f t="shared" si="24"/>
        <v>NV114</v>
      </c>
      <c r="E273" s="2" t="s">
        <v>0</v>
      </c>
      <c r="F273" s="2" t="str">
        <f t="shared" si="25"/>
        <v>NV11443782VàoSáng</v>
      </c>
      <c r="G273" s="52" t="str">
        <f t="shared" si="26"/>
        <v>08:00:42</v>
      </c>
      <c r="H273" s="53" t="str">
        <f t="shared" si="27"/>
        <v>Vào</v>
      </c>
      <c r="I273" s="53" t="str">
        <f t="shared" si="28"/>
        <v>Sáng</v>
      </c>
      <c r="J273" s="53" t="s">
        <v>39</v>
      </c>
      <c r="K273" s="53" t="s">
        <v>102</v>
      </c>
      <c r="L273" s="54">
        <f t="shared" si="29"/>
        <v>43782</v>
      </c>
      <c r="M273" s="54"/>
    </row>
    <row r="274" spans="1:13" s="47" customFormat="1" ht="13.8" x14ac:dyDescent="0.3">
      <c r="A274" s="1" t="s">
        <v>43</v>
      </c>
      <c r="B274" s="3">
        <v>43781.731921296298</v>
      </c>
      <c r="C274" s="2" t="s">
        <v>37</v>
      </c>
      <c r="D274" s="2" t="str">
        <f t="shared" si="24"/>
        <v>NV114</v>
      </c>
      <c r="E274" s="2" t="s">
        <v>0</v>
      </c>
      <c r="F274" s="2" t="str">
        <f t="shared" si="25"/>
        <v>NV11443781RaChiều</v>
      </c>
      <c r="G274" s="52" t="str">
        <f t="shared" si="26"/>
        <v>17:33:58</v>
      </c>
      <c r="H274" s="53" t="str">
        <f t="shared" si="27"/>
        <v>Ra</v>
      </c>
      <c r="I274" s="53" t="str">
        <f t="shared" si="28"/>
        <v>Chiều</v>
      </c>
      <c r="J274" s="53" t="s">
        <v>37</v>
      </c>
      <c r="K274" s="53" t="s">
        <v>103</v>
      </c>
      <c r="L274" s="54">
        <f t="shared" si="29"/>
        <v>43781</v>
      </c>
      <c r="M274" s="54"/>
    </row>
    <row r="275" spans="1:13" s="47" customFormat="1" ht="13.8" x14ac:dyDescent="0.3">
      <c r="A275" s="1" t="s">
        <v>43</v>
      </c>
      <c r="B275" s="3">
        <v>43781.731805555552</v>
      </c>
      <c r="C275" s="2" t="s">
        <v>37</v>
      </c>
      <c r="D275" s="2" t="str">
        <f t="shared" si="24"/>
        <v>NV114</v>
      </c>
      <c r="E275" s="2" t="s">
        <v>0</v>
      </c>
      <c r="F275" s="2" t="str">
        <f t="shared" si="25"/>
        <v>NV11443781RaChiều</v>
      </c>
      <c r="G275" s="52" t="str">
        <f t="shared" si="26"/>
        <v>17:33:48</v>
      </c>
      <c r="H275" s="53" t="str">
        <f t="shared" si="27"/>
        <v>Ra</v>
      </c>
      <c r="I275" s="53" t="str">
        <f t="shared" si="28"/>
        <v>Chiều</v>
      </c>
      <c r="J275" s="53" t="s">
        <v>37</v>
      </c>
      <c r="K275" s="53" t="s">
        <v>103</v>
      </c>
      <c r="L275" s="54">
        <f t="shared" si="29"/>
        <v>43781</v>
      </c>
      <c r="M275" s="54"/>
    </row>
    <row r="276" spans="1:13" s="47" customFormat="1" ht="13.8" x14ac:dyDescent="0.3">
      <c r="A276" s="1" t="s">
        <v>43</v>
      </c>
      <c r="B276" s="3">
        <v>43781.331678240742</v>
      </c>
      <c r="C276" s="2" t="s">
        <v>37</v>
      </c>
      <c r="D276" s="2" t="str">
        <f t="shared" si="24"/>
        <v>NV114</v>
      </c>
      <c r="E276" s="2" t="s">
        <v>0</v>
      </c>
      <c r="F276" s="2" t="str">
        <f t="shared" si="25"/>
        <v>NV11443781VàoSáng</v>
      </c>
      <c r="G276" s="52" t="str">
        <f t="shared" si="26"/>
        <v>07:57:37</v>
      </c>
      <c r="H276" s="53" t="str">
        <f t="shared" si="27"/>
        <v>Vào</v>
      </c>
      <c r="I276" s="53" t="str">
        <f t="shared" si="28"/>
        <v>Sáng</v>
      </c>
      <c r="J276" s="53" t="s">
        <v>39</v>
      </c>
      <c r="K276" s="53" t="s">
        <v>102</v>
      </c>
      <c r="L276" s="54">
        <f t="shared" si="29"/>
        <v>43781</v>
      </c>
      <c r="M276" s="54"/>
    </row>
    <row r="277" spans="1:13" s="47" customFormat="1" ht="13.8" x14ac:dyDescent="0.3">
      <c r="A277" s="1" t="s">
        <v>43</v>
      </c>
      <c r="B277" s="3">
        <v>43780.734571759254</v>
      </c>
      <c r="C277" s="2" t="s">
        <v>37</v>
      </c>
      <c r="D277" s="2" t="str">
        <f t="shared" si="24"/>
        <v>NV114</v>
      </c>
      <c r="E277" s="2" t="s">
        <v>0</v>
      </c>
      <c r="F277" s="2" t="str">
        <f t="shared" si="25"/>
        <v>NV11443780RaChiều</v>
      </c>
      <c r="G277" s="52" t="str">
        <f t="shared" si="26"/>
        <v>17:37:47</v>
      </c>
      <c r="H277" s="53" t="str">
        <f t="shared" si="27"/>
        <v>Ra</v>
      </c>
      <c r="I277" s="53" t="str">
        <f t="shared" si="28"/>
        <v>Chiều</v>
      </c>
      <c r="J277" s="53" t="s">
        <v>37</v>
      </c>
      <c r="K277" s="53" t="s">
        <v>103</v>
      </c>
      <c r="L277" s="54">
        <f t="shared" si="29"/>
        <v>43780</v>
      </c>
      <c r="M277" s="54"/>
    </row>
    <row r="278" spans="1:13" s="47" customFormat="1" ht="13.8" x14ac:dyDescent="0.3">
      <c r="A278" s="1" t="s">
        <v>43</v>
      </c>
      <c r="B278" s="3">
        <v>43780.339189814811</v>
      </c>
      <c r="C278" s="2" t="s">
        <v>37</v>
      </c>
      <c r="D278" s="2" t="str">
        <f t="shared" si="24"/>
        <v>NV114</v>
      </c>
      <c r="E278" s="2" t="s">
        <v>0</v>
      </c>
      <c r="F278" s="2" t="str">
        <f t="shared" si="25"/>
        <v>NV11443780VàoSáng</v>
      </c>
      <c r="G278" s="52" t="str">
        <f t="shared" si="26"/>
        <v>08:08:26</v>
      </c>
      <c r="H278" s="53" t="str">
        <f t="shared" si="27"/>
        <v>Vào</v>
      </c>
      <c r="I278" s="53" t="str">
        <f t="shared" si="28"/>
        <v>Sáng</v>
      </c>
      <c r="J278" s="53" t="s">
        <v>39</v>
      </c>
      <c r="K278" s="53" t="s">
        <v>102</v>
      </c>
      <c r="L278" s="54">
        <f t="shared" si="29"/>
        <v>43780</v>
      </c>
      <c r="M278" s="54"/>
    </row>
    <row r="279" spans="1:13" s="47" customFormat="1" ht="13.8" x14ac:dyDescent="0.3">
      <c r="A279" s="1" t="s">
        <v>43</v>
      </c>
      <c r="B279" s="3">
        <v>43778.334849537037</v>
      </c>
      <c r="C279" s="2" t="s">
        <v>37</v>
      </c>
      <c r="D279" s="2" t="str">
        <f t="shared" si="24"/>
        <v>NV114</v>
      </c>
      <c r="E279" s="2" t="s">
        <v>0</v>
      </c>
      <c r="F279" s="2" t="str">
        <f t="shared" si="25"/>
        <v>NV11443778VàoSáng</v>
      </c>
      <c r="G279" s="52" t="str">
        <f t="shared" si="26"/>
        <v>08:02:11</v>
      </c>
      <c r="H279" s="53" t="str">
        <f t="shared" si="27"/>
        <v>Vào</v>
      </c>
      <c r="I279" s="53" t="str">
        <f t="shared" si="28"/>
        <v>Sáng</v>
      </c>
      <c r="J279" s="53" t="s">
        <v>39</v>
      </c>
      <c r="K279" s="53" t="s">
        <v>102</v>
      </c>
      <c r="L279" s="54">
        <f t="shared" si="29"/>
        <v>43778</v>
      </c>
      <c r="M279" s="54"/>
    </row>
    <row r="280" spans="1:13" s="47" customFormat="1" ht="13.8" x14ac:dyDescent="0.3">
      <c r="A280" s="1" t="s">
        <v>43</v>
      </c>
      <c r="B280" s="3">
        <v>43777.732511574075</v>
      </c>
      <c r="C280" s="2" t="s">
        <v>37</v>
      </c>
      <c r="D280" s="2" t="str">
        <f t="shared" si="24"/>
        <v>NV114</v>
      </c>
      <c r="E280" s="2" t="s">
        <v>0</v>
      </c>
      <c r="F280" s="2" t="str">
        <f t="shared" si="25"/>
        <v>NV11443777RaChiều</v>
      </c>
      <c r="G280" s="52" t="str">
        <f t="shared" si="26"/>
        <v>17:34:49</v>
      </c>
      <c r="H280" s="53" t="str">
        <f t="shared" si="27"/>
        <v>Ra</v>
      </c>
      <c r="I280" s="53" t="str">
        <f t="shared" si="28"/>
        <v>Chiều</v>
      </c>
      <c r="J280" s="53" t="s">
        <v>37</v>
      </c>
      <c r="K280" s="53" t="s">
        <v>103</v>
      </c>
      <c r="L280" s="54">
        <f t="shared" si="29"/>
        <v>43777</v>
      </c>
      <c r="M280" s="54"/>
    </row>
    <row r="281" spans="1:13" s="47" customFormat="1" ht="13.8" x14ac:dyDescent="0.3">
      <c r="A281" s="1" t="s">
        <v>43</v>
      </c>
      <c r="B281" s="3">
        <v>43777.329953703702</v>
      </c>
      <c r="C281" s="2" t="s">
        <v>37</v>
      </c>
      <c r="D281" s="2" t="str">
        <f t="shared" si="24"/>
        <v>NV114</v>
      </c>
      <c r="E281" s="2" t="s">
        <v>0</v>
      </c>
      <c r="F281" s="2" t="str">
        <f t="shared" si="25"/>
        <v>NV11443777VàoSáng</v>
      </c>
      <c r="G281" s="52" t="str">
        <f t="shared" si="26"/>
        <v>07:55:08</v>
      </c>
      <c r="H281" s="53" t="str">
        <f t="shared" si="27"/>
        <v>Vào</v>
      </c>
      <c r="I281" s="53" t="str">
        <f t="shared" si="28"/>
        <v>Sáng</v>
      </c>
      <c r="J281" s="53" t="s">
        <v>39</v>
      </c>
      <c r="K281" s="53" t="s">
        <v>102</v>
      </c>
      <c r="L281" s="54">
        <f t="shared" si="29"/>
        <v>43777</v>
      </c>
      <c r="M281" s="54"/>
    </row>
    <row r="282" spans="1:13" s="47" customFormat="1" ht="13.8" x14ac:dyDescent="0.3">
      <c r="A282" s="1" t="s">
        <v>43</v>
      </c>
      <c r="B282" s="3">
        <v>43776.729965277773</v>
      </c>
      <c r="C282" s="2" t="s">
        <v>37</v>
      </c>
      <c r="D282" s="2" t="str">
        <f t="shared" si="24"/>
        <v>NV114</v>
      </c>
      <c r="E282" s="2" t="s">
        <v>0</v>
      </c>
      <c r="F282" s="2" t="str">
        <f t="shared" si="25"/>
        <v>NV11443776RaChiều</v>
      </c>
      <c r="G282" s="52" t="str">
        <f t="shared" si="26"/>
        <v>17:31:09</v>
      </c>
      <c r="H282" s="53" t="str">
        <f t="shared" si="27"/>
        <v>Ra</v>
      </c>
      <c r="I282" s="53" t="str">
        <f t="shared" si="28"/>
        <v>Chiều</v>
      </c>
      <c r="J282" s="53" t="s">
        <v>37</v>
      </c>
      <c r="K282" s="53" t="s">
        <v>103</v>
      </c>
      <c r="L282" s="54">
        <f t="shared" si="29"/>
        <v>43776</v>
      </c>
      <c r="M282" s="54"/>
    </row>
    <row r="283" spans="1:13" s="47" customFormat="1" ht="13.8" x14ac:dyDescent="0.3">
      <c r="A283" s="1" t="s">
        <v>43</v>
      </c>
      <c r="B283" s="3">
        <v>43776.332962962959</v>
      </c>
      <c r="C283" s="2" t="s">
        <v>37</v>
      </c>
      <c r="D283" s="2" t="str">
        <f t="shared" si="24"/>
        <v>NV114</v>
      </c>
      <c r="E283" s="2" t="s">
        <v>0</v>
      </c>
      <c r="F283" s="2" t="str">
        <f t="shared" si="25"/>
        <v>NV11443776VàoSáng</v>
      </c>
      <c r="G283" s="52" t="str">
        <f t="shared" si="26"/>
        <v>07:59:28</v>
      </c>
      <c r="H283" s="53" t="str">
        <f t="shared" si="27"/>
        <v>Vào</v>
      </c>
      <c r="I283" s="53" t="str">
        <f t="shared" si="28"/>
        <v>Sáng</v>
      </c>
      <c r="J283" s="53" t="s">
        <v>39</v>
      </c>
      <c r="K283" s="53" t="s">
        <v>102</v>
      </c>
      <c r="L283" s="54">
        <f t="shared" si="29"/>
        <v>43776</v>
      </c>
      <c r="M283" s="54"/>
    </row>
    <row r="284" spans="1:13" s="47" customFormat="1" ht="13.8" x14ac:dyDescent="0.3">
      <c r="A284" s="1" t="s">
        <v>43</v>
      </c>
      <c r="B284" s="3">
        <v>43774.73033564815</v>
      </c>
      <c r="C284" s="2" t="s">
        <v>37</v>
      </c>
      <c r="D284" s="2" t="str">
        <f t="shared" si="24"/>
        <v>NV114</v>
      </c>
      <c r="E284" s="2" t="s">
        <v>0</v>
      </c>
      <c r="F284" s="2" t="str">
        <f t="shared" si="25"/>
        <v>NV11443774RaChiều</v>
      </c>
      <c r="G284" s="52" t="str">
        <f t="shared" si="26"/>
        <v>17:31:41</v>
      </c>
      <c r="H284" s="53" t="str">
        <f t="shared" si="27"/>
        <v>Ra</v>
      </c>
      <c r="I284" s="53" t="str">
        <f t="shared" si="28"/>
        <v>Chiều</v>
      </c>
      <c r="J284" s="53" t="s">
        <v>37</v>
      </c>
      <c r="K284" s="53" t="s">
        <v>103</v>
      </c>
      <c r="L284" s="54">
        <f t="shared" si="29"/>
        <v>43774</v>
      </c>
      <c r="M284" s="54"/>
    </row>
    <row r="285" spans="1:13" s="47" customFormat="1" ht="13.8" x14ac:dyDescent="0.3">
      <c r="A285" s="1" t="s">
        <v>43</v>
      </c>
      <c r="B285" s="3">
        <v>43774.328425925924</v>
      </c>
      <c r="C285" s="2" t="s">
        <v>37</v>
      </c>
      <c r="D285" s="2" t="str">
        <f t="shared" si="24"/>
        <v>NV114</v>
      </c>
      <c r="E285" s="2" t="s">
        <v>0</v>
      </c>
      <c r="F285" s="2" t="str">
        <f t="shared" si="25"/>
        <v>NV11443774VàoSáng</v>
      </c>
      <c r="G285" s="52" t="str">
        <f t="shared" si="26"/>
        <v>07:52:56</v>
      </c>
      <c r="H285" s="53" t="str">
        <f t="shared" si="27"/>
        <v>Vào</v>
      </c>
      <c r="I285" s="53" t="str">
        <f t="shared" si="28"/>
        <v>Sáng</v>
      </c>
      <c r="J285" s="53" t="s">
        <v>39</v>
      </c>
      <c r="K285" s="53" t="s">
        <v>102</v>
      </c>
      <c r="L285" s="54">
        <f t="shared" si="29"/>
        <v>43774</v>
      </c>
      <c r="M285" s="54"/>
    </row>
    <row r="286" spans="1:13" s="47" customFormat="1" ht="13.8" x14ac:dyDescent="0.3">
      <c r="A286" s="1" t="s">
        <v>43</v>
      </c>
      <c r="B286" s="3">
        <v>43773.733171296291</v>
      </c>
      <c r="C286" s="2" t="s">
        <v>37</v>
      </c>
      <c r="D286" s="2" t="str">
        <f t="shared" si="24"/>
        <v>NV114</v>
      </c>
      <c r="E286" s="2" t="s">
        <v>0</v>
      </c>
      <c r="F286" s="2" t="str">
        <f t="shared" si="25"/>
        <v>NV11443773RaChiều</v>
      </c>
      <c r="G286" s="52" t="str">
        <f t="shared" si="26"/>
        <v>17:35:46</v>
      </c>
      <c r="H286" s="53" t="str">
        <f t="shared" si="27"/>
        <v>Ra</v>
      </c>
      <c r="I286" s="53" t="str">
        <f t="shared" si="28"/>
        <v>Chiều</v>
      </c>
      <c r="J286" s="53" t="s">
        <v>37</v>
      </c>
      <c r="K286" s="53" t="s">
        <v>103</v>
      </c>
      <c r="L286" s="54">
        <f t="shared" si="29"/>
        <v>43773</v>
      </c>
      <c r="M286" s="54"/>
    </row>
    <row r="287" spans="1:13" s="47" customFormat="1" ht="13.8" x14ac:dyDescent="0.3">
      <c r="A287" s="1" t="s">
        <v>43</v>
      </c>
      <c r="B287" s="3">
        <v>43773.331527777773</v>
      </c>
      <c r="C287" s="2" t="s">
        <v>37</v>
      </c>
      <c r="D287" s="2" t="str">
        <f t="shared" si="24"/>
        <v>NV114</v>
      </c>
      <c r="E287" s="2" t="s">
        <v>0</v>
      </c>
      <c r="F287" s="2" t="str">
        <f t="shared" si="25"/>
        <v>NV11443773VàoSáng</v>
      </c>
      <c r="G287" s="52" t="str">
        <f t="shared" si="26"/>
        <v>07:57:24</v>
      </c>
      <c r="H287" s="53" t="str">
        <f t="shared" si="27"/>
        <v>Vào</v>
      </c>
      <c r="I287" s="53" t="str">
        <f t="shared" si="28"/>
        <v>Sáng</v>
      </c>
      <c r="J287" s="53" t="s">
        <v>39</v>
      </c>
      <c r="K287" s="53" t="s">
        <v>102</v>
      </c>
      <c r="L287" s="54">
        <f t="shared" si="29"/>
        <v>43773</v>
      </c>
      <c r="M287" s="54"/>
    </row>
    <row r="288" spans="1:13" s="47" customFormat="1" ht="13.8" x14ac:dyDescent="0.3">
      <c r="A288" s="1" t="s">
        <v>43</v>
      </c>
      <c r="B288" s="3">
        <v>43771.731689814813</v>
      </c>
      <c r="C288" s="2" t="s">
        <v>37</v>
      </c>
      <c r="D288" s="2" t="str">
        <f t="shared" si="24"/>
        <v>NV114</v>
      </c>
      <c r="E288" s="2" t="s">
        <v>0</v>
      </c>
      <c r="F288" s="2" t="str">
        <f t="shared" si="25"/>
        <v>NV11443771RaChiều</v>
      </c>
      <c r="G288" s="52" t="str">
        <f t="shared" si="26"/>
        <v>17:33:38</v>
      </c>
      <c r="H288" s="53" t="str">
        <f t="shared" si="27"/>
        <v>Ra</v>
      </c>
      <c r="I288" s="53" t="str">
        <f t="shared" si="28"/>
        <v>Chiều</v>
      </c>
      <c r="J288" s="53" t="s">
        <v>37</v>
      </c>
      <c r="K288" s="53" t="s">
        <v>103</v>
      </c>
      <c r="L288" s="54">
        <f t="shared" si="29"/>
        <v>43771</v>
      </c>
      <c r="M288" s="54"/>
    </row>
    <row r="289" spans="1:13" s="47" customFormat="1" ht="13.8" x14ac:dyDescent="0.3">
      <c r="A289" s="1" t="s">
        <v>43</v>
      </c>
      <c r="B289" s="3">
        <v>43771.335370370369</v>
      </c>
      <c r="C289" s="2" t="s">
        <v>37</v>
      </c>
      <c r="D289" s="2" t="str">
        <f t="shared" si="24"/>
        <v>NV114</v>
      </c>
      <c r="E289" s="2" t="s">
        <v>0</v>
      </c>
      <c r="F289" s="2" t="str">
        <f t="shared" si="25"/>
        <v>NV11443771VàoSáng</v>
      </c>
      <c r="G289" s="52" t="str">
        <f t="shared" si="26"/>
        <v>08:02:56</v>
      </c>
      <c r="H289" s="53" t="str">
        <f t="shared" si="27"/>
        <v>Vào</v>
      </c>
      <c r="I289" s="53" t="str">
        <f t="shared" si="28"/>
        <v>Sáng</v>
      </c>
      <c r="J289" s="53" t="s">
        <v>39</v>
      </c>
      <c r="K289" s="53" t="s">
        <v>102</v>
      </c>
      <c r="L289" s="54">
        <f t="shared" si="29"/>
        <v>43771</v>
      </c>
      <c r="M289" s="54"/>
    </row>
    <row r="290" spans="1:13" s="47" customFormat="1" ht="13.8" x14ac:dyDescent="0.3">
      <c r="A290" s="1" t="s">
        <v>43</v>
      </c>
      <c r="B290" s="3">
        <v>43770.737523148149</v>
      </c>
      <c r="C290" s="2" t="s">
        <v>37</v>
      </c>
      <c r="D290" s="2" t="str">
        <f t="shared" si="24"/>
        <v>NV114</v>
      </c>
      <c r="E290" s="2" t="s">
        <v>0</v>
      </c>
      <c r="F290" s="2" t="str">
        <f t="shared" si="25"/>
        <v>NV11443770RaChiều</v>
      </c>
      <c r="G290" s="52" t="str">
        <f t="shared" si="26"/>
        <v>17:42:02</v>
      </c>
      <c r="H290" s="53" t="str">
        <f t="shared" si="27"/>
        <v>Ra</v>
      </c>
      <c r="I290" s="53" t="str">
        <f t="shared" si="28"/>
        <v>Chiều</v>
      </c>
      <c r="J290" s="53" t="s">
        <v>37</v>
      </c>
      <c r="K290" s="53" t="s">
        <v>103</v>
      </c>
      <c r="L290" s="54">
        <f t="shared" si="29"/>
        <v>43770</v>
      </c>
      <c r="M290" s="54"/>
    </row>
    <row r="291" spans="1:13" s="47" customFormat="1" ht="13.8" x14ac:dyDescent="0.3">
      <c r="A291" s="1" t="s">
        <v>43</v>
      </c>
      <c r="B291" s="3">
        <v>43770.364363425921</v>
      </c>
      <c r="C291" s="2" t="s">
        <v>37</v>
      </c>
      <c r="D291" s="2" t="str">
        <f t="shared" si="24"/>
        <v>NV114</v>
      </c>
      <c r="E291" s="2" t="s">
        <v>0</v>
      </c>
      <c r="F291" s="2" t="str">
        <f t="shared" si="25"/>
        <v>NV11443770VàoSáng</v>
      </c>
      <c r="G291" s="52" t="str">
        <f t="shared" si="26"/>
        <v>08:44:41</v>
      </c>
      <c r="H291" s="53" t="str">
        <f t="shared" si="27"/>
        <v>Vào</v>
      </c>
      <c r="I291" s="53" t="str">
        <f t="shared" si="28"/>
        <v>Sáng</v>
      </c>
      <c r="J291" s="53" t="s">
        <v>39</v>
      </c>
      <c r="K291" s="53" t="s">
        <v>102</v>
      </c>
      <c r="L291" s="54">
        <f t="shared" si="29"/>
        <v>43770</v>
      </c>
      <c r="M291" s="54"/>
    </row>
    <row r="292" spans="1:13" s="47" customFormat="1" ht="13.8" x14ac:dyDescent="0.3">
      <c r="A292" s="1" t="s">
        <v>44</v>
      </c>
      <c r="B292" s="3">
        <v>43799.73841435185</v>
      </c>
      <c r="C292" s="2" t="s">
        <v>37</v>
      </c>
      <c r="D292" s="2" t="str">
        <f t="shared" si="24"/>
        <v>NV118</v>
      </c>
      <c r="E292" s="2" t="s">
        <v>0</v>
      </c>
      <c r="F292" s="2" t="str">
        <f t="shared" si="25"/>
        <v>NV11843799RaChiều</v>
      </c>
      <c r="G292" s="52" t="str">
        <f t="shared" si="26"/>
        <v>17:43:19</v>
      </c>
      <c r="H292" s="53" t="str">
        <f t="shared" si="27"/>
        <v>Ra</v>
      </c>
      <c r="I292" s="53" t="str">
        <f t="shared" si="28"/>
        <v>Chiều</v>
      </c>
      <c r="J292" s="53" t="s">
        <v>37</v>
      </c>
      <c r="K292" s="53" t="s">
        <v>103</v>
      </c>
      <c r="L292" s="54">
        <f t="shared" si="29"/>
        <v>43799</v>
      </c>
      <c r="M292" s="54"/>
    </row>
    <row r="293" spans="1:13" s="47" customFormat="1" ht="13.8" x14ac:dyDescent="0.3">
      <c r="A293" s="1" t="s">
        <v>44</v>
      </c>
      <c r="B293" s="3">
        <v>43799.730185185181</v>
      </c>
      <c r="C293" s="2" t="s">
        <v>37</v>
      </c>
      <c r="D293" s="2" t="str">
        <f t="shared" si="24"/>
        <v>NV118</v>
      </c>
      <c r="E293" s="2" t="s">
        <v>0</v>
      </c>
      <c r="F293" s="2" t="str">
        <f t="shared" si="25"/>
        <v>NV11843799RaChiều</v>
      </c>
      <c r="G293" s="52" t="str">
        <f t="shared" si="26"/>
        <v>17:31:28</v>
      </c>
      <c r="H293" s="53" t="str">
        <f t="shared" si="27"/>
        <v>Ra</v>
      </c>
      <c r="I293" s="53" t="str">
        <f t="shared" si="28"/>
        <v>Chiều</v>
      </c>
      <c r="J293" s="53" t="s">
        <v>37</v>
      </c>
      <c r="K293" s="53" t="s">
        <v>103</v>
      </c>
      <c r="L293" s="54">
        <f t="shared" si="29"/>
        <v>43799</v>
      </c>
      <c r="M293" s="54"/>
    </row>
    <row r="294" spans="1:13" s="47" customFormat="1" ht="13.8" x14ac:dyDescent="0.3">
      <c r="A294" s="1" t="s">
        <v>44</v>
      </c>
      <c r="B294" s="3">
        <v>43799.556782407402</v>
      </c>
      <c r="C294" s="2" t="s">
        <v>37</v>
      </c>
      <c r="D294" s="2" t="str">
        <f t="shared" si="24"/>
        <v>NV118</v>
      </c>
      <c r="E294" s="2" t="s">
        <v>0</v>
      </c>
      <c r="F294" s="2" t="str">
        <f t="shared" si="25"/>
        <v>NV11843799VàoChiều</v>
      </c>
      <c r="G294" s="52" t="str">
        <f t="shared" si="26"/>
        <v>13:21:46</v>
      </c>
      <c r="H294" s="53" t="str">
        <f t="shared" si="27"/>
        <v>Vào</v>
      </c>
      <c r="I294" s="53" t="str">
        <f t="shared" si="28"/>
        <v>Chiều</v>
      </c>
      <c r="J294" s="53" t="s">
        <v>39</v>
      </c>
      <c r="K294" s="53" t="s">
        <v>103</v>
      </c>
      <c r="L294" s="54">
        <f t="shared" si="29"/>
        <v>43799</v>
      </c>
      <c r="M294" s="54"/>
    </row>
    <row r="295" spans="1:13" s="47" customFormat="1" ht="13.8" x14ac:dyDescent="0.3">
      <c r="A295" s="1" t="s">
        <v>44</v>
      </c>
      <c r="B295" s="3">
        <v>43798.729641203703</v>
      </c>
      <c r="C295" s="2" t="s">
        <v>37</v>
      </c>
      <c r="D295" s="2" t="str">
        <f t="shared" si="24"/>
        <v>NV118</v>
      </c>
      <c r="E295" s="2" t="s">
        <v>0</v>
      </c>
      <c r="F295" s="2" t="str">
        <f t="shared" si="25"/>
        <v>NV11843798RaChiều</v>
      </c>
      <c r="G295" s="52" t="str">
        <f t="shared" si="26"/>
        <v>17:30:41</v>
      </c>
      <c r="H295" s="53" t="str">
        <f t="shared" si="27"/>
        <v>Ra</v>
      </c>
      <c r="I295" s="53" t="str">
        <f t="shared" si="28"/>
        <v>Chiều</v>
      </c>
      <c r="J295" s="53" t="s">
        <v>37</v>
      </c>
      <c r="K295" s="53" t="s">
        <v>103</v>
      </c>
      <c r="L295" s="54">
        <f t="shared" si="29"/>
        <v>43798</v>
      </c>
      <c r="M295" s="54"/>
    </row>
    <row r="296" spans="1:13" s="47" customFormat="1" ht="13.8" x14ac:dyDescent="0.3">
      <c r="A296" s="1" t="s">
        <v>44</v>
      </c>
      <c r="B296" s="3">
        <v>43798.336909722224</v>
      </c>
      <c r="C296" s="2" t="s">
        <v>37</v>
      </c>
      <c r="D296" s="2" t="str">
        <f t="shared" si="24"/>
        <v>NV118</v>
      </c>
      <c r="E296" s="2" t="s">
        <v>0</v>
      </c>
      <c r="F296" s="2" t="str">
        <f t="shared" si="25"/>
        <v>NV11843798VàoSáng</v>
      </c>
      <c r="G296" s="52" t="str">
        <f t="shared" si="26"/>
        <v>08:05:09</v>
      </c>
      <c r="H296" s="53" t="str">
        <f t="shared" si="27"/>
        <v>Vào</v>
      </c>
      <c r="I296" s="53" t="str">
        <f t="shared" si="28"/>
        <v>Sáng</v>
      </c>
      <c r="J296" s="53" t="s">
        <v>39</v>
      </c>
      <c r="K296" s="53" t="s">
        <v>102</v>
      </c>
      <c r="L296" s="54">
        <f t="shared" si="29"/>
        <v>43798</v>
      </c>
      <c r="M296" s="54"/>
    </row>
    <row r="297" spans="1:13" s="47" customFormat="1" ht="13.8" x14ac:dyDescent="0.3">
      <c r="A297" s="1" t="s">
        <v>44</v>
      </c>
      <c r="B297" s="3">
        <v>43797.748599537037</v>
      </c>
      <c r="C297" s="2" t="s">
        <v>37</v>
      </c>
      <c r="D297" s="2" t="str">
        <f t="shared" si="24"/>
        <v>NV118</v>
      </c>
      <c r="E297" s="2" t="s">
        <v>0</v>
      </c>
      <c r="F297" s="2" t="str">
        <f t="shared" si="25"/>
        <v>NV11843797RaChiều</v>
      </c>
      <c r="G297" s="52" t="str">
        <f t="shared" si="26"/>
        <v>17:57:59</v>
      </c>
      <c r="H297" s="53" t="str">
        <f t="shared" si="27"/>
        <v>Ra</v>
      </c>
      <c r="I297" s="53" t="str">
        <f t="shared" si="28"/>
        <v>Chiều</v>
      </c>
      <c r="J297" s="53" t="s">
        <v>37</v>
      </c>
      <c r="K297" s="53" t="s">
        <v>103</v>
      </c>
      <c r="L297" s="54">
        <f t="shared" si="29"/>
        <v>43797</v>
      </c>
      <c r="M297" s="54"/>
    </row>
    <row r="298" spans="1:13" s="47" customFormat="1" ht="13.8" x14ac:dyDescent="0.3">
      <c r="A298" s="1" t="s">
        <v>44</v>
      </c>
      <c r="B298" s="3">
        <v>43797.739942129629</v>
      </c>
      <c r="C298" s="2" t="s">
        <v>37</v>
      </c>
      <c r="D298" s="2" t="str">
        <f t="shared" si="24"/>
        <v>NV118</v>
      </c>
      <c r="E298" s="2" t="s">
        <v>0</v>
      </c>
      <c r="F298" s="2" t="str">
        <f t="shared" si="25"/>
        <v>NV11843797RaChiều</v>
      </c>
      <c r="G298" s="52" t="str">
        <f t="shared" si="26"/>
        <v>17:45:31</v>
      </c>
      <c r="H298" s="53" t="str">
        <f t="shared" si="27"/>
        <v>Ra</v>
      </c>
      <c r="I298" s="53" t="str">
        <f t="shared" si="28"/>
        <v>Chiều</v>
      </c>
      <c r="J298" s="53" t="s">
        <v>37</v>
      </c>
      <c r="K298" s="53" t="s">
        <v>103</v>
      </c>
      <c r="L298" s="54">
        <f t="shared" si="29"/>
        <v>43797</v>
      </c>
      <c r="M298" s="54"/>
    </row>
    <row r="299" spans="1:13" s="47" customFormat="1" ht="13.8" x14ac:dyDescent="0.3">
      <c r="A299" s="1" t="s">
        <v>44</v>
      </c>
      <c r="B299" s="3">
        <v>43797.335405092592</v>
      </c>
      <c r="C299" s="2" t="s">
        <v>37</v>
      </c>
      <c r="D299" s="2" t="str">
        <f t="shared" si="24"/>
        <v>NV118</v>
      </c>
      <c r="E299" s="2" t="s">
        <v>0</v>
      </c>
      <c r="F299" s="2" t="str">
        <f t="shared" si="25"/>
        <v>NV11843797VàoSáng</v>
      </c>
      <c r="G299" s="52" t="str">
        <f t="shared" si="26"/>
        <v>08:02:59</v>
      </c>
      <c r="H299" s="53" t="str">
        <f t="shared" si="27"/>
        <v>Vào</v>
      </c>
      <c r="I299" s="53" t="str">
        <f t="shared" si="28"/>
        <v>Sáng</v>
      </c>
      <c r="J299" s="53" t="s">
        <v>39</v>
      </c>
      <c r="K299" s="53" t="s">
        <v>102</v>
      </c>
      <c r="L299" s="54">
        <f t="shared" si="29"/>
        <v>43797</v>
      </c>
      <c r="M299" s="54"/>
    </row>
    <row r="300" spans="1:13" s="47" customFormat="1" ht="13.8" x14ac:dyDescent="0.3">
      <c r="A300" s="1" t="s">
        <v>44</v>
      </c>
      <c r="B300" s="3">
        <v>43796.733263888884</v>
      </c>
      <c r="C300" s="2" t="s">
        <v>37</v>
      </c>
      <c r="D300" s="2" t="str">
        <f t="shared" si="24"/>
        <v>NV118</v>
      </c>
      <c r="E300" s="2" t="s">
        <v>0</v>
      </c>
      <c r="F300" s="2" t="str">
        <f t="shared" si="25"/>
        <v>NV11843796RaChiều</v>
      </c>
      <c r="G300" s="52" t="str">
        <f t="shared" si="26"/>
        <v>17:35:54</v>
      </c>
      <c r="H300" s="53" t="str">
        <f t="shared" si="27"/>
        <v>Ra</v>
      </c>
      <c r="I300" s="53" t="str">
        <f t="shared" si="28"/>
        <v>Chiều</v>
      </c>
      <c r="J300" s="53" t="s">
        <v>37</v>
      </c>
      <c r="K300" s="53" t="s">
        <v>103</v>
      </c>
      <c r="L300" s="54">
        <f t="shared" si="29"/>
        <v>43796</v>
      </c>
      <c r="M300" s="54"/>
    </row>
    <row r="301" spans="1:13" s="47" customFormat="1" ht="13.8" x14ac:dyDescent="0.3">
      <c r="A301" s="1" t="s">
        <v>44</v>
      </c>
      <c r="B301" s="3">
        <v>43796.732893518514</v>
      </c>
      <c r="C301" s="2" t="s">
        <v>37</v>
      </c>
      <c r="D301" s="2" t="str">
        <f t="shared" si="24"/>
        <v>NV118</v>
      </c>
      <c r="E301" s="2" t="s">
        <v>0</v>
      </c>
      <c r="F301" s="2" t="str">
        <f t="shared" si="25"/>
        <v>NV11843796RaChiều</v>
      </c>
      <c r="G301" s="52" t="str">
        <f t="shared" si="26"/>
        <v>17:35:22</v>
      </c>
      <c r="H301" s="53" t="str">
        <f t="shared" si="27"/>
        <v>Ra</v>
      </c>
      <c r="I301" s="53" t="str">
        <f t="shared" si="28"/>
        <v>Chiều</v>
      </c>
      <c r="J301" s="53" t="s">
        <v>37</v>
      </c>
      <c r="K301" s="53" t="s">
        <v>103</v>
      </c>
      <c r="L301" s="54">
        <f t="shared" si="29"/>
        <v>43796</v>
      </c>
      <c r="M301" s="54"/>
    </row>
    <row r="302" spans="1:13" s="47" customFormat="1" ht="13.8" x14ac:dyDescent="0.3">
      <c r="A302" s="1" t="s">
        <v>44</v>
      </c>
      <c r="B302" s="3">
        <v>43796.336909722224</v>
      </c>
      <c r="C302" s="2" t="s">
        <v>37</v>
      </c>
      <c r="D302" s="2" t="str">
        <f t="shared" si="24"/>
        <v>NV118</v>
      </c>
      <c r="E302" s="2" t="s">
        <v>0</v>
      </c>
      <c r="F302" s="2" t="str">
        <f t="shared" si="25"/>
        <v>NV11843796VàoSáng</v>
      </c>
      <c r="G302" s="52" t="str">
        <f t="shared" si="26"/>
        <v>08:05:09</v>
      </c>
      <c r="H302" s="53" t="str">
        <f t="shared" si="27"/>
        <v>Vào</v>
      </c>
      <c r="I302" s="53" t="str">
        <f t="shared" si="28"/>
        <v>Sáng</v>
      </c>
      <c r="J302" s="53" t="s">
        <v>39</v>
      </c>
      <c r="K302" s="53" t="s">
        <v>102</v>
      </c>
      <c r="L302" s="54">
        <f t="shared" si="29"/>
        <v>43796</v>
      </c>
      <c r="M302" s="54"/>
    </row>
    <row r="303" spans="1:13" s="47" customFormat="1" ht="13.8" x14ac:dyDescent="0.3">
      <c r="A303" s="1" t="s">
        <v>44</v>
      </c>
      <c r="B303" s="3">
        <v>43795.730312499996</v>
      </c>
      <c r="C303" s="2" t="s">
        <v>37</v>
      </c>
      <c r="D303" s="2" t="str">
        <f t="shared" si="24"/>
        <v>NV118</v>
      </c>
      <c r="E303" s="2" t="s">
        <v>0</v>
      </c>
      <c r="F303" s="2" t="str">
        <f t="shared" si="25"/>
        <v>NV11843795RaChiều</v>
      </c>
      <c r="G303" s="52" t="str">
        <f t="shared" si="26"/>
        <v>17:31:39</v>
      </c>
      <c r="H303" s="53" t="str">
        <f t="shared" si="27"/>
        <v>Ra</v>
      </c>
      <c r="I303" s="53" t="str">
        <f t="shared" si="28"/>
        <v>Chiều</v>
      </c>
      <c r="J303" s="53" t="s">
        <v>37</v>
      </c>
      <c r="K303" s="53" t="s">
        <v>103</v>
      </c>
      <c r="L303" s="54">
        <f t="shared" si="29"/>
        <v>43795</v>
      </c>
      <c r="M303" s="54"/>
    </row>
    <row r="304" spans="1:13" s="47" customFormat="1" ht="13.8" x14ac:dyDescent="0.3">
      <c r="A304" s="1" t="s">
        <v>44</v>
      </c>
      <c r="B304" s="3">
        <v>43795.336331018516</v>
      </c>
      <c r="C304" s="2" t="s">
        <v>37</v>
      </c>
      <c r="D304" s="2" t="str">
        <f t="shared" si="24"/>
        <v>NV118</v>
      </c>
      <c r="E304" s="2" t="s">
        <v>0</v>
      </c>
      <c r="F304" s="2" t="str">
        <f t="shared" si="25"/>
        <v>NV11843795VàoSáng</v>
      </c>
      <c r="G304" s="52" t="str">
        <f t="shared" si="26"/>
        <v>08:04:19</v>
      </c>
      <c r="H304" s="53" t="str">
        <f t="shared" si="27"/>
        <v>Vào</v>
      </c>
      <c r="I304" s="53" t="str">
        <f t="shared" si="28"/>
        <v>Sáng</v>
      </c>
      <c r="J304" s="53" t="s">
        <v>39</v>
      </c>
      <c r="K304" s="53" t="s">
        <v>102</v>
      </c>
      <c r="L304" s="54">
        <f t="shared" si="29"/>
        <v>43795</v>
      </c>
      <c r="M304" s="54"/>
    </row>
    <row r="305" spans="1:13" s="47" customFormat="1" ht="13.8" x14ac:dyDescent="0.3">
      <c r="A305" s="1" t="s">
        <v>44</v>
      </c>
      <c r="B305" s="3">
        <v>43794.743263888886</v>
      </c>
      <c r="C305" s="2" t="s">
        <v>37</v>
      </c>
      <c r="D305" s="2" t="str">
        <f t="shared" si="24"/>
        <v>NV118</v>
      </c>
      <c r="E305" s="2" t="s">
        <v>0</v>
      </c>
      <c r="F305" s="2" t="str">
        <f t="shared" si="25"/>
        <v>NV11843794RaChiều</v>
      </c>
      <c r="G305" s="52" t="str">
        <f t="shared" si="26"/>
        <v>17:50:18</v>
      </c>
      <c r="H305" s="53" t="str">
        <f t="shared" si="27"/>
        <v>Ra</v>
      </c>
      <c r="I305" s="53" t="str">
        <f t="shared" si="28"/>
        <v>Chiều</v>
      </c>
      <c r="J305" s="53" t="s">
        <v>37</v>
      </c>
      <c r="K305" s="53" t="s">
        <v>103</v>
      </c>
      <c r="L305" s="54">
        <f t="shared" si="29"/>
        <v>43794</v>
      </c>
      <c r="M305" s="54"/>
    </row>
    <row r="306" spans="1:13" s="47" customFormat="1" ht="13.8" x14ac:dyDescent="0.3">
      <c r="A306" s="1" t="s">
        <v>44</v>
      </c>
      <c r="B306" s="3">
        <v>43794.334444444445</v>
      </c>
      <c r="C306" s="2" t="s">
        <v>37</v>
      </c>
      <c r="D306" s="2" t="str">
        <f t="shared" si="24"/>
        <v>NV118</v>
      </c>
      <c r="E306" s="2" t="s">
        <v>0</v>
      </c>
      <c r="F306" s="2" t="str">
        <f t="shared" si="25"/>
        <v>NV11843794VàoSáng</v>
      </c>
      <c r="G306" s="52" t="str">
        <f t="shared" si="26"/>
        <v>08:01:36</v>
      </c>
      <c r="H306" s="53" t="str">
        <f t="shared" si="27"/>
        <v>Vào</v>
      </c>
      <c r="I306" s="53" t="str">
        <f t="shared" si="28"/>
        <v>Sáng</v>
      </c>
      <c r="J306" s="53" t="s">
        <v>39</v>
      </c>
      <c r="K306" s="53" t="s">
        <v>102</v>
      </c>
      <c r="L306" s="54">
        <f t="shared" si="29"/>
        <v>43794</v>
      </c>
      <c r="M306" s="54"/>
    </row>
    <row r="307" spans="1:13" s="47" customFormat="1" ht="13.8" x14ac:dyDescent="0.3">
      <c r="A307" s="1" t="s">
        <v>44</v>
      </c>
      <c r="B307" s="3">
        <v>43792.733067129629</v>
      </c>
      <c r="C307" s="2" t="s">
        <v>37</v>
      </c>
      <c r="D307" s="2" t="str">
        <f t="shared" si="24"/>
        <v>NV118</v>
      </c>
      <c r="E307" s="2" t="s">
        <v>0</v>
      </c>
      <c r="F307" s="2" t="str">
        <f t="shared" si="25"/>
        <v>NV11843792RaChiều</v>
      </c>
      <c r="G307" s="52" t="str">
        <f t="shared" si="26"/>
        <v>17:35:37</v>
      </c>
      <c r="H307" s="53" t="str">
        <f t="shared" si="27"/>
        <v>Ra</v>
      </c>
      <c r="I307" s="53" t="str">
        <f t="shared" si="28"/>
        <v>Chiều</v>
      </c>
      <c r="J307" s="53" t="s">
        <v>37</v>
      </c>
      <c r="K307" s="53" t="s">
        <v>103</v>
      </c>
      <c r="L307" s="54">
        <f t="shared" si="29"/>
        <v>43792</v>
      </c>
      <c r="M307" s="54"/>
    </row>
    <row r="308" spans="1:13" s="47" customFormat="1" ht="13.8" x14ac:dyDescent="0.3">
      <c r="A308" s="1" t="s">
        <v>44</v>
      </c>
      <c r="B308" s="3">
        <v>43792.733043981483</v>
      </c>
      <c r="C308" s="2" t="s">
        <v>37</v>
      </c>
      <c r="D308" s="2" t="str">
        <f t="shared" si="24"/>
        <v>NV118</v>
      </c>
      <c r="E308" s="2" t="s">
        <v>0</v>
      </c>
      <c r="F308" s="2" t="str">
        <f t="shared" si="25"/>
        <v>NV11843792RaChiều</v>
      </c>
      <c r="G308" s="52" t="str">
        <f t="shared" si="26"/>
        <v>17:35:35</v>
      </c>
      <c r="H308" s="53" t="str">
        <f t="shared" si="27"/>
        <v>Ra</v>
      </c>
      <c r="I308" s="53" t="str">
        <f t="shared" si="28"/>
        <v>Chiều</v>
      </c>
      <c r="J308" s="53" t="s">
        <v>37</v>
      </c>
      <c r="K308" s="53" t="s">
        <v>103</v>
      </c>
      <c r="L308" s="54">
        <f t="shared" si="29"/>
        <v>43792</v>
      </c>
      <c r="M308" s="54"/>
    </row>
    <row r="309" spans="1:13" s="47" customFormat="1" ht="13.8" x14ac:dyDescent="0.3">
      <c r="A309" s="1" t="s">
        <v>44</v>
      </c>
      <c r="B309" s="3">
        <v>43792.334293981483</v>
      </c>
      <c r="C309" s="2" t="s">
        <v>37</v>
      </c>
      <c r="D309" s="2" t="str">
        <f t="shared" si="24"/>
        <v>NV118</v>
      </c>
      <c r="E309" s="2" t="s">
        <v>0</v>
      </c>
      <c r="F309" s="2" t="str">
        <f t="shared" si="25"/>
        <v>NV11843792VàoSáng</v>
      </c>
      <c r="G309" s="52" t="str">
        <f t="shared" si="26"/>
        <v>08:01:23</v>
      </c>
      <c r="H309" s="53" t="str">
        <f t="shared" si="27"/>
        <v>Vào</v>
      </c>
      <c r="I309" s="53" t="str">
        <f t="shared" si="28"/>
        <v>Sáng</v>
      </c>
      <c r="J309" s="53" t="s">
        <v>39</v>
      </c>
      <c r="K309" s="53" t="s">
        <v>102</v>
      </c>
      <c r="L309" s="54">
        <f t="shared" si="29"/>
        <v>43792</v>
      </c>
      <c r="M309" s="54"/>
    </row>
    <row r="310" spans="1:13" s="47" customFormat="1" ht="13.8" x14ac:dyDescent="0.3">
      <c r="A310" s="1" t="s">
        <v>44</v>
      </c>
      <c r="B310" s="3">
        <v>43791.736932870372</v>
      </c>
      <c r="C310" s="2" t="s">
        <v>37</v>
      </c>
      <c r="D310" s="2" t="str">
        <f t="shared" si="24"/>
        <v>NV118</v>
      </c>
      <c r="E310" s="2" t="s">
        <v>0</v>
      </c>
      <c r="F310" s="2" t="str">
        <f t="shared" si="25"/>
        <v>NV11843791RaChiều</v>
      </c>
      <c r="G310" s="52" t="str">
        <f t="shared" si="26"/>
        <v>17:41:11</v>
      </c>
      <c r="H310" s="53" t="str">
        <f t="shared" si="27"/>
        <v>Ra</v>
      </c>
      <c r="I310" s="53" t="str">
        <f t="shared" si="28"/>
        <v>Chiều</v>
      </c>
      <c r="J310" s="53" t="s">
        <v>37</v>
      </c>
      <c r="K310" s="53" t="s">
        <v>103</v>
      </c>
      <c r="L310" s="54">
        <f t="shared" si="29"/>
        <v>43791</v>
      </c>
      <c r="M310" s="54"/>
    </row>
    <row r="311" spans="1:13" s="47" customFormat="1" ht="13.8" x14ac:dyDescent="0.3">
      <c r="A311" s="1" t="s">
        <v>44</v>
      </c>
      <c r="B311" s="3">
        <v>43791.33489583333</v>
      </c>
      <c r="C311" s="2" t="s">
        <v>37</v>
      </c>
      <c r="D311" s="2" t="str">
        <f t="shared" si="24"/>
        <v>NV118</v>
      </c>
      <c r="E311" s="2" t="s">
        <v>0</v>
      </c>
      <c r="F311" s="2" t="str">
        <f t="shared" si="25"/>
        <v>NV11843791VàoSáng</v>
      </c>
      <c r="G311" s="52" t="str">
        <f t="shared" si="26"/>
        <v>08:02:15</v>
      </c>
      <c r="H311" s="53" t="str">
        <f t="shared" si="27"/>
        <v>Vào</v>
      </c>
      <c r="I311" s="53" t="str">
        <f t="shared" si="28"/>
        <v>Sáng</v>
      </c>
      <c r="J311" s="53" t="s">
        <v>39</v>
      </c>
      <c r="K311" s="53" t="s">
        <v>102</v>
      </c>
      <c r="L311" s="54">
        <f t="shared" si="29"/>
        <v>43791</v>
      </c>
      <c r="M311" s="54"/>
    </row>
    <row r="312" spans="1:13" s="47" customFormat="1" ht="13.8" x14ac:dyDescent="0.3">
      <c r="A312" s="1" t="s">
        <v>44</v>
      </c>
      <c r="B312" s="3">
        <v>43790.732627314814</v>
      </c>
      <c r="C312" s="2" t="s">
        <v>37</v>
      </c>
      <c r="D312" s="2" t="str">
        <f t="shared" si="24"/>
        <v>NV118</v>
      </c>
      <c r="E312" s="2" t="s">
        <v>0</v>
      </c>
      <c r="F312" s="2" t="str">
        <f t="shared" si="25"/>
        <v>NV11843790RaChiều</v>
      </c>
      <c r="G312" s="52" t="str">
        <f t="shared" si="26"/>
        <v>17:34:59</v>
      </c>
      <c r="H312" s="53" t="str">
        <f t="shared" si="27"/>
        <v>Ra</v>
      </c>
      <c r="I312" s="53" t="str">
        <f t="shared" si="28"/>
        <v>Chiều</v>
      </c>
      <c r="J312" s="53" t="s">
        <v>37</v>
      </c>
      <c r="K312" s="53" t="s">
        <v>103</v>
      </c>
      <c r="L312" s="54">
        <f t="shared" si="29"/>
        <v>43790</v>
      </c>
      <c r="M312" s="54"/>
    </row>
    <row r="313" spans="1:13" s="47" customFormat="1" ht="13.8" x14ac:dyDescent="0.3">
      <c r="A313" s="1" t="s">
        <v>44</v>
      </c>
      <c r="B313" s="3">
        <v>43790.335312499999</v>
      </c>
      <c r="C313" s="2" t="s">
        <v>37</v>
      </c>
      <c r="D313" s="2" t="str">
        <f t="shared" si="24"/>
        <v>NV118</v>
      </c>
      <c r="E313" s="2" t="s">
        <v>0</v>
      </c>
      <c r="F313" s="2" t="str">
        <f t="shared" si="25"/>
        <v>NV11843790VàoSáng</v>
      </c>
      <c r="G313" s="52" t="str">
        <f t="shared" si="26"/>
        <v>08:02:51</v>
      </c>
      <c r="H313" s="53" t="str">
        <f t="shared" si="27"/>
        <v>Vào</v>
      </c>
      <c r="I313" s="53" t="str">
        <f t="shared" si="28"/>
        <v>Sáng</v>
      </c>
      <c r="J313" s="53" t="s">
        <v>39</v>
      </c>
      <c r="K313" s="53" t="s">
        <v>102</v>
      </c>
      <c r="L313" s="54">
        <f t="shared" si="29"/>
        <v>43790</v>
      </c>
      <c r="M313" s="54"/>
    </row>
    <row r="314" spans="1:13" s="47" customFormat="1" ht="13.8" x14ac:dyDescent="0.3">
      <c r="A314" s="1" t="s">
        <v>44</v>
      </c>
      <c r="B314" s="3">
        <v>43789.731481481482</v>
      </c>
      <c r="C314" s="2" t="s">
        <v>37</v>
      </c>
      <c r="D314" s="2" t="str">
        <f t="shared" si="24"/>
        <v>NV118</v>
      </c>
      <c r="E314" s="2" t="s">
        <v>0</v>
      </c>
      <c r="F314" s="2" t="str">
        <f t="shared" si="25"/>
        <v>NV11843789RaChiều</v>
      </c>
      <c r="G314" s="52" t="str">
        <f t="shared" si="26"/>
        <v>17:33:20</v>
      </c>
      <c r="H314" s="53" t="str">
        <f t="shared" si="27"/>
        <v>Ra</v>
      </c>
      <c r="I314" s="53" t="str">
        <f t="shared" si="28"/>
        <v>Chiều</v>
      </c>
      <c r="J314" s="53" t="s">
        <v>37</v>
      </c>
      <c r="K314" s="53" t="s">
        <v>103</v>
      </c>
      <c r="L314" s="54">
        <f t="shared" si="29"/>
        <v>43789</v>
      </c>
      <c r="M314" s="54"/>
    </row>
    <row r="315" spans="1:13" s="47" customFormat="1" ht="13.8" x14ac:dyDescent="0.3">
      <c r="A315" s="1" t="s">
        <v>44</v>
      </c>
      <c r="B315" s="3">
        <v>43788.73982638889</v>
      </c>
      <c r="C315" s="2" t="s">
        <v>37</v>
      </c>
      <c r="D315" s="2" t="str">
        <f t="shared" si="24"/>
        <v>NV118</v>
      </c>
      <c r="E315" s="2" t="s">
        <v>0</v>
      </c>
      <c r="F315" s="2" t="str">
        <f t="shared" si="25"/>
        <v>NV11843788RaChiều</v>
      </c>
      <c r="G315" s="52" t="str">
        <f t="shared" si="26"/>
        <v>17:45:21</v>
      </c>
      <c r="H315" s="53" t="str">
        <f t="shared" si="27"/>
        <v>Ra</v>
      </c>
      <c r="I315" s="53" t="str">
        <f t="shared" si="28"/>
        <v>Chiều</v>
      </c>
      <c r="J315" s="53" t="s">
        <v>37</v>
      </c>
      <c r="K315" s="53" t="s">
        <v>103</v>
      </c>
      <c r="L315" s="54">
        <f t="shared" si="29"/>
        <v>43788</v>
      </c>
      <c r="M315" s="54"/>
    </row>
    <row r="316" spans="1:13" s="47" customFormat="1" ht="13.8" x14ac:dyDescent="0.3">
      <c r="A316" s="1" t="s">
        <v>44</v>
      </c>
      <c r="B316" s="3">
        <v>43788.342361111107</v>
      </c>
      <c r="C316" s="2" t="s">
        <v>37</v>
      </c>
      <c r="D316" s="2" t="str">
        <f t="shared" si="24"/>
        <v>NV118</v>
      </c>
      <c r="E316" s="2" t="s">
        <v>0</v>
      </c>
      <c r="F316" s="2" t="str">
        <f t="shared" si="25"/>
        <v>NV11843788VàoSáng</v>
      </c>
      <c r="G316" s="52" t="str">
        <f t="shared" si="26"/>
        <v>08:13:00</v>
      </c>
      <c r="H316" s="53" t="str">
        <f t="shared" si="27"/>
        <v>Vào</v>
      </c>
      <c r="I316" s="53" t="str">
        <f t="shared" si="28"/>
        <v>Sáng</v>
      </c>
      <c r="J316" s="53" t="s">
        <v>39</v>
      </c>
      <c r="K316" s="53" t="s">
        <v>102</v>
      </c>
      <c r="L316" s="54">
        <f t="shared" si="29"/>
        <v>43788</v>
      </c>
      <c r="M316" s="54"/>
    </row>
    <row r="317" spans="1:13" s="47" customFormat="1" ht="13.8" x14ac:dyDescent="0.3">
      <c r="A317" s="1" t="s">
        <v>44</v>
      </c>
      <c r="B317" s="3">
        <v>43787.735706018517</v>
      </c>
      <c r="C317" s="2" t="s">
        <v>37</v>
      </c>
      <c r="D317" s="2" t="str">
        <f t="shared" si="24"/>
        <v>NV118</v>
      </c>
      <c r="E317" s="2" t="s">
        <v>0</v>
      </c>
      <c r="F317" s="2" t="str">
        <f t="shared" si="25"/>
        <v>NV11843787RaChiều</v>
      </c>
      <c r="G317" s="52" t="str">
        <f t="shared" si="26"/>
        <v>17:39:25</v>
      </c>
      <c r="H317" s="53" t="str">
        <f t="shared" si="27"/>
        <v>Ra</v>
      </c>
      <c r="I317" s="53" t="str">
        <f t="shared" si="28"/>
        <v>Chiều</v>
      </c>
      <c r="J317" s="53" t="s">
        <v>37</v>
      </c>
      <c r="K317" s="53" t="s">
        <v>103</v>
      </c>
      <c r="L317" s="54">
        <f t="shared" si="29"/>
        <v>43787</v>
      </c>
      <c r="M317" s="54"/>
    </row>
    <row r="318" spans="1:13" s="47" customFormat="1" ht="13.8" x14ac:dyDescent="0.3">
      <c r="A318" s="1" t="s">
        <v>44</v>
      </c>
      <c r="B318" s="3">
        <v>43787.3352662037</v>
      </c>
      <c r="C318" s="2" t="s">
        <v>37</v>
      </c>
      <c r="D318" s="2" t="str">
        <f t="shared" si="24"/>
        <v>NV118</v>
      </c>
      <c r="E318" s="2" t="s">
        <v>0</v>
      </c>
      <c r="F318" s="2" t="str">
        <f t="shared" si="25"/>
        <v>NV11843787VàoSáng</v>
      </c>
      <c r="G318" s="52" t="str">
        <f t="shared" si="26"/>
        <v>08:02:47</v>
      </c>
      <c r="H318" s="53" t="str">
        <f t="shared" si="27"/>
        <v>Vào</v>
      </c>
      <c r="I318" s="53" t="str">
        <f t="shared" si="28"/>
        <v>Sáng</v>
      </c>
      <c r="J318" s="53" t="s">
        <v>39</v>
      </c>
      <c r="K318" s="53" t="s">
        <v>102</v>
      </c>
      <c r="L318" s="54">
        <f t="shared" si="29"/>
        <v>43787</v>
      </c>
      <c r="M318" s="54"/>
    </row>
    <row r="319" spans="1:13" s="47" customFormat="1" ht="13.8" x14ac:dyDescent="0.3">
      <c r="A319" s="1" t="s">
        <v>44</v>
      </c>
      <c r="B319" s="3">
        <v>43785.730057870365</v>
      </c>
      <c r="C319" s="2" t="s">
        <v>37</v>
      </c>
      <c r="D319" s="2" t="str">
        <f t="shared" si="24"/>
        <v>NV118</v>
      </c>
      <c r="E319" s="2" t="s">
        <v>0</v>
      </c>
      <c r="F319" s="2" t="str">
        <f t="shared" si="25"/>
        <v>NV11843785RaChiều</v>
      </c>
      <c r="G319" s="52" t="str">
        <f t="shared" si="26"/>
        <v>17:31:17</v>
      </c>
      <c r="H319" s="53" t="str">
        <f t="shared" si="27"/>
        <v>Ra</v>
      </c>
      <c r="I319" s="53" t="str">
        <f t="shared" si="28"/>
        <v>Chiều</v>
      </c>
      <c r="J319" s="53" t="s">
        <v>37</v>
      </c>
      <c r="K319" s="53" t="s">
        <v>103</v>
      </c>
      <c r="L319" s="54">
        <f t="shared" si="29"/>
        <v>43785</v>
      </c>
      <c r="M319" s="54"/>
    </row>
    <row r="320" spans="1:13" s="47" customFormat="1" ht="13.8" x14ac:dyDescent="0.3">
      <c r="A320" s="1" t="s">
        <v>44</v>
      </c>
      <c r="B320" s="3">
        <v>43785.33185185185</v>
      </c>
      <c r="C320" s="2" t="s">
        <v>37</v>
      </c>
      <c r="D320" s="2" t="str">
        <f t="shared" si="24"/>
        <v>NV118</v>
      </c>
      <c r="E320" s="2" t="s">
        <v>0</v>
      </c>
      <c r="F320" s="2" t="str">
        <f t="shared" si="25"/>
        <v>NV11843785VàoSáng</v>
      </c>
      <c r="G320" s="52" t="str">
        <f t="shared" si="26"/>
        <v>07:57:52</v>
      </c>
      <c r="H320" s="53" t="str">
        <f t="shared" si="27"/>
        <v>Vào</v>
      </c>
      <c r="I320" s="53" t="str">
        <f t="shared" si="28"/>
        <v>Sáng</v>
      </c>
      <c r="J320" s="53" t="s">
        <v>39</v>
      </c>
      <c r="K320" s="53" t="s">
        <v>102</v>
      </c>
      <c r="L320" s="54">
        <f t="shared" si="29"/>
        <v>43785</v>
      </c>
      <c r="M320" s="54"/>
    </row>
    <row r="321" spans="1:13" s="47" customFormat="1" ht="13.8" x14ac:dyDescent="0.3">
      <c r="A321" s="1" t="s">
        <v>44</v>
      </c>
      <c r="B321" s="3">
        <v>43784.733252314814</v>
      </c>
      <c r="C321" s="2" t="s">
        <v>37</v>
      </c>
      <c r="D321" s="2" t="str">
        <f t="shared" si="24"/>
        <v>NV118</v>
      </c>
      <c r="E321" s="2" t="s">
        <v>0</v>
      </c>
      <c r="F321" s="2" t="str">
        <f t="shared" si="25"/>
        <v>NV11843784RaChiều</v>
      </c>
      <c r="G321" s="52" t="str">
        <f t="shared" si="26"/>
        <v>17:35:53</v>
      </c>
      <c r="H321" s="53" t="str">
        <f t="shared" si="27"/>
        <v>Ra</v>
      </c>
      <c r="I321" s="53" t="str">
        <f t="shared" si="28"/>
        <v>Chiều</v>
      </c>
      <c r="J321" s="53" t="s">
        <v>37</v>
      </c>
      <c r="K321" s="53" t="s">
        <v>103</v>
      </c>
      <c r="L321" s="54">
        <f t="shared" si="29"/>
        <v>43784</v>
      </c>
      <c r="M321" s="54"/>
    </row>
    <row r="322" spans="1:13" s="47" customFormat="1" ht="13.8" x14ac:dyDescent="0.3">
      <c r="A322" s="1" t="s">
        <v>44</v>
      </c>
      <c r="B322" s="3">
        <v>43784.3358912037</v>
      </c>
      <c r="C322" s="2" t="s">
        <v>37</v>
      </c>
      <c r="D322" s="2" t="str">
        <f t="shared" si="24"/>
        <v>NV118</v>
      </c>
      <c r="E322" s="2" t="s">
        <v>0</v>
      </c>
      <c r="F322" s="2" t="str">
        <f t="shared" si="25"/>
        <v>NV11843784VàoSáng</v>
      </c>
      <c r="G322" s="52" t="str">
        <f t="shared" si="26"/>
        <v>08:03:41</v>
      </c>
      <c r="H322" s="53" t="str">
        <f t="shared" si="27"/>
        <v>Vào</v>
      </c>
      <c r="I322" s="53" t="str">
        <f t="shared" si="28"/>
        <v>Sáng</v>
      </c>
      <c r="J322" s="53" t="s">
        <v>39</v>
      </c>
      <c r="K322" s="53" t="s">
        <v>102</v>
      </c>
      <c r="L322" s="54">
        <f t="shared" si="29"/>
        <v>43784</v>
      </c>
      <c r="M322" s="54"/>
    </row>
    <row r="323" spans="1:13" s="47" customFormat="1" ht="13.8" x14ac:dyDescent="0.3">
      <c r="A323" s="1" t="s">
        <v>44</v>
      </c>
      <c r="B323" s="3">
        <v>43783.733819444446</v>
      </c>
      <c r="C323" s="2" t="s">
        <v>37</v>
      </c>
      <c r="D323" s="2" t="str">
        <f t="shared" si="24"/>
        <v>NV118</v>
      </c>
      <c r="E323" s="2" t="s">
        <v>0</v>
      </c>
      <c r="F323" s="2" t="str">
        <f t="shared" si="25"/>
        <v>NV11843783RaChiều</v>
      </c>
      <c r="G323" s="52" t="str">
        <f t="shared" si="26"/>
        <v>17:36:42</v>
      </c>
      <c r="H323" s="53" t="str">
        <f t="shared" si="27"/>
        <v>Ra</v>
      </c>
      <c r="I323" s="53" t="str">
        <f t="shared" si="28"/>
        <v>Chiều</v>
      </c>
      <c r="J323" s="53" t="s">
        <v>37</v>
      </c>
      <c r="K323" s="53" t="s">
        <v>103</v>
      </c>
      <c r="L323" s="54">
        <f t="shared" si="29"/>
        <v>43783</v>
      </c>
      <c r="M323" s="54"/>
    </row>
    <row r="324" spans="1:13" s="47" customFormat="1" ht="13.8" x14ac:dyDescent="0.3">
      <c r="A324" s="1" t="s">
        <v>44</v>
      </c>
      <c r="B324" s="3">
        <v>43783.336006944446</v>
      </c>
      <c r="C324" s="2" t="s">
        <v>37</v>
      </c>
      <c r="D324" s="2" t="str">
        <f t="shared" si="24"/>
        <v>NV118</v>
      </c>
      <c r="E324" s="2" t="s">
        <v>0</v>
      </c>
      <c r="F324" s="2" t="str">
        <f t="shared" si="25"/>
        <v>NV11843783VàoSáng</v>
      </c>
      <c r="G324" s="52" t="str">
        <f t="shared" si="26"/>
        <v>08:03:51</v>
      </c>
      <c r="H324" s="53" t="str">
        <f t="shared" si="27"/>
        <v>Vào</v>
      </c>
      <c r="I324" s="53" t="str">
        <f t="shared" si="28"/>
        <v>Sáng</v>
      </c>
      <c r="J324" s="53" t="s">
        <v>39</v>
      </c>
      <c r="K324" s="53" t="s">
        <v>102</v>
      </c>
      <c r="L324" s="54">
        <f t="shared" si="29"/>
        <v>43783</v>
      </c>
      <c r="M324" s="54"/>
    </row>
    <row r="325" spans="1:13" s="47" customFormat="1" ht="13.8" x14ac:dyDescent="0.3">
      <c r="A325" s="1" t="s">
        <v>44</v>
      </c>
      <c r="B325" s="3">
        <v>43782.730729166666</v>
      </c>
      <c r="C325" s="2" t="s">
        <v>37</v>
      </c>
      <c r="D325" s="2" t="str">
        <f t="shared" si="24"/>
        <v>NV118</v>
      </c>
      <c r="E325" s="2" t="s">
        <v>0</v>
      </c>
      <c r="F325" s="2" t="str">
        <f t="shared" si="25"/>
        <v>NV11843782RaChiều</v>
      </c>
      <c r="G325" s="52" t="str">
        <f t="shared" si="26"/>
        <v>17:32:15</v>
      </c>
      <c r="H325" s="53" t="str">
        <f t="shared" si="27"/>
        <v>Ra</v>
      </c>
      <c r="I325" s="53" t="str">
        <f t="shared" si="28"/>
        <v>Chiều</v>
      </c>
      <c r="J325" s="53" t="s">
        <v>37</v>
      </c>
      <c r="K325" s="53" t="s">
        <v>103</v>
      </c>
      <c r="L325" s="54">
        <f t="shared" si="29"/>
        <v>43782</v>
      </c>
      <c r="M325" s="54"/>
    </row>
    <row r="326" spans="1:13" s="47" customFormat="1" ht="13.8" x14ac:dyDescent="0.3">
      <c r="A326" s="1" t="s">
        <v>44</v>
      </c>
      <c r="B326" s="3">
        <v>43782.338020833333</v>
      </c>
      <c r="C326" s="2" t="s">
        <v>37</v>
      </c>
      <c r="D326" s="2" t="str">
        <f t="shared" ref="D326:D389" si="30">"NV"&amp;A326</f>
        <v>NV118</v>
      </c>
      <c r="E326" s="2" t="s">
        <v>0</v>
      </c>
      <c r="F326" s="2" t="str">
        <f t="shared" ref="F326:F389" si="31">D326&amp;L326&amp;J326&amp;K326</f>
        <v>NV11843782VàoSáng</v>
      </c>
      <c r="G326" s="52" t="str">
        <f t="shared" si="26"/>
        <v>08:06:45</v>
      </c>
      <c r="H326" s="53" t="str">
        <f t="shared" si="27"/>
        <v>Vào</v>
      </c>
      <c r="I326" s="53" t="str">
        <f t="shared" si="28"/>
        <v>Sáng</v>
      </c>
      <c r="J326" s="53" t="s">
        <v>39</v>
      </c>
      <c r="K326" s="53" t="s">
        <v>102</v>
      </c>
      <c r="L326" s="54">
        <f t="shared" si="29"/>
        <v>43782</v>
      </c>
      <c r="M326" s="54"/>
    </row>
    <row r="327" spans="1:13" s="47" customFormat="1" ht="13.8" x14ac:dyDescent="0.3">
      <c r="A327" s="1" t="s">
        <v>44</v>
      </c>
      <c r="B327" s="3">
        <v>43781.731168981481</v>
      </c>
      <c r="C327" s="2" t="s">
        <v>37</v>
      </c>
      <c r="D327" s="2" t="str">
        <f t="shared" si="30"/>
        <v>NV118</v>
      </c>
      <c r="E327" s="2" t="s">
        <v>0</v>
      </c>
      <c r="F327" s="2" t="str">
        <f t="shared" si="31"/>
        <v>NV11843781RaChiều</v>
      </c>
      <c r="G327" s="52" t="str">
        <f t="shared" ref="G327:G390" si="32">TEXT(TIME(HOUR(B327),MINUTE(B327),SECOND(B327)),"hh:mm:ss")</f>
        <v>17:32:53</v>
      </c>
      <c r="H327" s="53" t="str">
        <f t="shared" ref="H327:H390" si="33">IF(AND(I327="Sáng",G327&lt;"11:00:00",G327&gt;="07:00:00"),"Vào",
IF(AND(I327="Sáng",G327&lt;"13:00:00",G327&gt;="11:00:00"),"Ra",
IF(AND(I327="Chiều",G327&lt;"16:00:00",G327&gt;="13:00:00"),"Vào",
IF(AND(I327="Chiều",G327&lt;"20:00:00",G327&gt;="16:00:00"),"Ra"))))</f>
        <v>Ra</v>
      </c>
      <c r="I327" s="53" t="str">
        <f t="shared" ref="I327:I390" si="34">IF(G327&lt;="12:30:00","Sáng","Chiều")</f>
        <v>Chiều</v>
      </c>
      <c r="J327" s="53" t="s">
        <v>37</v>
      </c>
      <c r="K327" s="53" t="s">
        <v>103</v>
      </c>
      <c r="L327" s="54">
        <f t="shared" ref="L327:L390" si="35">DATE(YEAR(B327),MONTH(B327),DAY(B327))</f>
        <v>43781</v>
      </c>
      <c r="M327" s="54"/>
    </row>
    <row r="328" spans="1:13" s="47" customFormat="1" ht="13.8" x14ac:dyDescent="0.3">
      <c r="A328" s="1" t="s">
        <v>44</v>
      </c>
      <c r="B328" s="3">
        <v>43781.335335648146</v>
      </c>
      <c r="C328" s="2" t="s">
        <v>37</v>
      </c>
      <c r="D328" s="2" t="str">
        <f t="shared" si="30"/>
        <v>NV118</v>
      </c>
      <c r="E328" s="2" t="s">
        <v>0</v>
      </c>
      <c r="F328" s="2" t="str">
        <f t="shared" si="31"/>
        <v>NV11843781VàoSáng</v>
      </c>
      <c r="G328" s="52" t="str">
        <f t="shared" si="32"/>
        <v>08:02:53</v>
      </c>
      <c r="H328" s="53" t="str">
        <f t="shared" si="33"/>
        <v>Vào</v>
      </c>
      <c r="I328" s="53" t="str">
        <f t="shared" si="34"/>
        <v>Sáng</v>
      </c>
      <c r="J328" s="53" t="s">
        <v>39</v>
      </c>
      <c r="K328" s="53" t="s">
        <v>102</v>
      </c>
      <c r="L328" s="54">
        <f t="shared" si="35"/>
        <v>43781</v>
      </c>
      <c r="M328" s="54"/>
    </row>
    <row r="329" spans="1:13" s="47" customFormat="1" ht="13.8" x14ac:dyDescent="0.3">
      <c r="A329" s="1" t="s">
        <v>44</v>
      </c>
      <c r="B329" s="3">
        <v>43780.73238425926</v>
      </c>
      <c r="C329" s="2" t="s">
        <v>37</v>
      </c>
      <c r="D329" s="2" t="str">
        <f t="shared" si="30"/>
        <v>NV118</v>
      </c>
      <c r="E329" s="2" t="s">
        <v>0</v>
      </c>
      <c r="F329" s="2" t="str">
        <f t="shared" si="31"/>
        <v>NV11843780RaChiều</v>
      </c>
      <c r="G329" s="52" t="str">
        <f t="shared" si="32"/>
        <v>17:34:38</v>
      </c>
      <c r="H329" s="53" t="str">
        <f t="shared" si="33"/>
        <v>Ra</v>
      </c>
      <c r="I329" s="53" t="str">
        <f t="shared" si="34"/>
        <v>Chiều</v>
      </c>
      <c r="J329" s="53" t="s">
        <v>37</v>
      </c>
      <c r="K329" s="53" t="s">
        <v>103</v>
      </c>
      <c r="L329" s="54">
        <f t="shared" si="35"/>
        <v>43780</v>
      </c>
      <c r="M329" s="54"/>
    </row>
    <row r="330" spans="1:13" s="47" customFormat="1" ht="13.8" x14ac:dyDescent="0.3">
      <c r="A330" s="1" t="s">
        <v>44</v>
      </c>
      <c r="B330" s="3">
        <v>43780.328738425924</v>
      </c>
      <c r="C330" s="2" t="s">
        <v>37</v>
      </c>
      <c r="D330" s="2" t="str">
        <f t="shared" si="30"/>
        <v>NV118</v>
      </c>
      <c r="E330" s="2" t="s">
        <v>0</v>
      </c>
      <c r="F330" s="2" t="str">
        <f t="shared" si="31"/>
        <v>NV11843780VàoSáng</v>
      </c>
      <c r="G330" s="52" t="str">
        <f t="shared" si="32"/>
        <v>07:53:23</v>
      </c>
      <c r="H330" s="53" t="str">
        <f t="shared" si="33"/>
        <v>Vào</v>
      </c>
      <c r="I330" s="53" t="str">
        <f t="shared" si="34"/>
        <v>Sáng</v>
      </c>
      <c r="J330" s="53" t="s">
        <v>39</v>
      </c>
      <c r="K330" s="53" t="s">
        <v>102</v>
      </c>
      <c r="L330" s="54">
        <f t="shared" si="35"/>
        <v>43780</v>
      </c>
      <c r="M330" s="54"/>
    </row>
    <row r="331" spans="1:13" s="47" customFormat="1" ht="13.8" x14ac:dyDescent="0.3">
      <c r="A331" s="1" t="s">
        <v>44</v>
      </c>
      <c r="B331" s="3">
        <v>43780.326365740737</v>
      </c>
      <c r="C331" s="2" t="s">
        <v>37</v>
      </c>
      <c r="D331" s="2" t="str">
        <f t="shared" si="30"/>
        <v>NV118</v>
      </c>
      <c r="E331" s="2" t="s">
        <v>0</v>
      </c>
      <c r="F331" s="2" t="str">
        <f t="shared" si="31"/>
        <v>NV11843780VàoSáng</v>
      </c>
      <c r="G331" s="52" t="str">
        <f t="shared" si="32"/>
        <v>07:49:58</v>
      </c>
      <c r="H331" s="53" t="str">
        <f t="shared" si="33"/>
        <v>Vào</v>
      </c>
      <c r="I331" s="53" t="str">
        <f t="shared" si="34"/>
        <v>Sáng</v>
      </c>
      <c r="J331" s="53" t="s">
        <v>39</v>
      </c>
      <c r="K331" s="53" t="s">
        <v>102</v>
      </c>
      <c r="L331" s="54">
        <f t="shared" si="35"/>
        <v>43780</v>
      </c>
      <c r="M331" s="54"/>
    </row>
    <row r="332" spans="1:13" s="47" customFormat="1" ht="13.8" x14ac:dyDescent="0.3">
      <c r="A332" s="1" t="s">
        <v>44</v>
      </c>
      <c r="B332" s="3">
        <v>43778.731354166666</v>
      </c>
      <c r="C332" s="2" t="s">
        <v>37</v>
      </c>
      <c r="D332" s="2" t="str">
        <f t="shared" si="30"/>
        <v>NV118</v>
      </c>
      <c r="E332" s="2" t="s">
        <v>0</v>
      </c>
      <c r="F332" s="2" t="str">
        <f t="shared" si="31"/>
        <v>NV11843778RaChiều</v>
      </c>
      <c r="G332" s="52" t="str">
        <f t="shared" si="32"/>
        <v>17:33:09</v>
      </c>
      <c r="H332" s="53" t="str">
        <f t="shared" si="33"/>
        <v>Ra</v>
      </c>
      <c r="I332" s="53" t="str">
        <f t="shared" si="34"/>
        <v>Chiều</v>
      </c>
      <c r="J332" s="53" t="s">
        <v>37</v>
      </c>
      <c r="K332" s="53" t="s">
        <v>103</v>
      </c>
      <c r="L332" s="54">
        <f t="shared" si="35"/>
        <v>43778</v>
      </c>
      <c r="M332" s="54"/>
    </row>
    <row r="333" spans="1:13" s="47" customFormat="1" ht="13.8" x14ac:dyDescent="0.3">
      <c r="A333" s="1" t="s">
        <v>44</v>
      </c>
      <c r="B333" s="3">
        <v>43778.334282407406</v>
      </c>
      <c r="C333" s="2" t="s">
        <v>37</v>
      </c>
      <c r="D333" s="2" t="str">
        <f t="shared" si="30"/>
        <v>NV118</v>
      </c>
      <c r="E333" s="2" t="s">
        <v>0</v>
      </c>
      <c r="F333" s="2" t="str">
        <f t="shared" si="31"/>
        <v>NV11843778VàoSáng</v>
      </c>
      <c r="G333" s="52" t="str">
        <f t="shared" si="32"/>
        <v>08:01:22</v>
      </c>
      <c r="H333" s="53" t="str">
        <f t="shared" si="33"/>
        <v>Vào</v>
      </c>
      <c r="I333" s="53" t="str">
        <f t="shared" si="34"/>
        <v>Sáng</v>
      </c>
      <c r="J333" s="53" t="s">
        <v>39</v>
      </c>
      <c r="K333" s="53" t="s">
        <v>102</v>
      </c>
      <c r="L333" s="54">
        <f t="shared" si="35"/>
        <v>43778</v>
      </c>
      <c r="M333" s="54"/>
    </row>
    <row r="334" spans="1:13" s="47" customFormat="1" ht="13.8" x14ac:dyDescent="0.3">
      <c r="A334" s="1" t="s">
        <v>44</v>
      </c>
      <c r="B334" s="3">
        <v>43777.732708333329</v>
      </c>
      <c r="C334" s="2" t="s">
        <v>37</v>
      </c>
      <c r="D334" s="2" t="str">
        <f t="shared" si="30"/>
        <v>NV118</v>
      </c>
      <c r="E334" s="2" t="s">
        <v>0</v>
      </c>
      <c r="F334" s="2" t="str">
        <f t="shared" si="31"/>
        <v>NV11843777RaChiều</v>
      </c>
      <c r="G334" s="52" t="str">
        <f t="shared" si="32"/>
        <v>17:35:06</v>
      </c>
      <c r="H334" s="53" t="str">
        <f t="shared" si="33"/>
        <v>Ra</v>
      </c>
      <c r="I334" s="53" t="str">
        <f t="shared" si="34"/>
        <v>Chiều</v>
      </c>
      <c r="J334" s="53" t="s">
        <v>37</v>
      </c>
      <c r="K334" s="53" t="s">
        <v>103</v>
      </c>
      <c r="L334" s="54">
        <f t="shared" si="35"/>
        <v>43777</v>
      </c>
      <c r="M334" s="54"/>
    </row>
    <row r="335" spans="1:13" s="47" customFormat="1" ht="13.8" x14ac:dyDescent="0.3">
      <c r="A335" s="1" t="s">
        <v>44</v>
      </c>
      <c r="B335" s="3">
        <v>43777.330138888887</v>
      </c>
      <c r="C335" s="2" t="s">
        <v>37</v>
      </c>
      <c r="D335" s="2" t="str">
        <f t="shared" si="30"/>
        <v>NV118</v>
      </c>
      <c r="E335" s="2" t="s">
        <v>0</v>
      </c>
      <c r="F335" s="2" t="str">
        <f t="shared" si="31"/>
        <v>NV11843777VàoSáng</v>
      </c>
      <c r="G335" s="52" t="str">
        <f t="shared" si="32"/>
        <v>07:55:24</v>
      </c>
      <c r="H335" s="53" t="str">
        <f t="shared" si="33"/>
        <v>Vào</v>
      </c>
      <c r="I335" s="53" t="str">
        <f t="shared" si="34"/>
        <v>Sáng</v>
      </c>
      <c r="J335" s="53" t="s">
        <v>39</v>
      </c>
      <c r="K335" s="53" t="s">
        <v>102</v>
      </c>
      <c r="L335" s="54">
        <f t="shared" si="35"/>
        <v>43777</v>
      </c>
      <c r="M335" s="54"/>
    </row>
    <row r="336" spans="1:13" s="47" customFormat="1" ht="13.8" x14ac:dyDescent="0.3">
      <c r="A336" s="1" t="s">
        <v>44</v>
      </c>
      <c r="B336" s="3">
        <v>43776.729421296295</v>
      </c>
      <c r="C336" s="2" t="s">
        <v>37</v>
      </c>
      <c r="D336" s="2" t="str">
        <f t="shared" si="30"/>
        <v>NV118</v>
      </c>
      <c r="E336" s="2" t="s">
        <v>0</v>
      </c>
      <c r="F336" s="2" t="str">
        <f t="shared" si="31"/>
        <v>NV11843776RaChiều</v>
      </c>
      <c r="G336" s="52" t="str">
        <f t="shared" si="32"/>
        <v>17:30:22</v>
      </c>
      <c r="H336" s="53" t="str">
        <f t="shared" si="33"/>
        <v>Ra</v>
      </c>
      <c r="I336" s="53" t="str">
        <f t="shared" si="34"/>
        <v>Chiều</v>
      </c>
      <c r="J336" s="53" t="s">
        <v>37</v>
      </c>
      <c r="K336" s="53" t="s">
        <v>103</v>
      </c>
      <c r="L336" s="54">
        <f t="shared" si="35"/>
        <v>43776</v>
      </c>
      <c r="M336" s="54"/>
    </row>
    <row r="337" spans="1:13" s="47" customFormat="1" ht="13.8" x14ac:dyDescent="0.3">
      <c r="A337" s="1" t="s">
        <v>44</v>
      </c>
      <c r="B337" s="3">
        <v>43776.333414351851</v>
      </c>
      <c r="C337" s="2" t="s">
        <v>37</v>
      </c>
      <c r="D337" s="2" t="str">
        <f t="shared" si="30"/>
        <v>NV118</v>
      </c>
      <c r="E337" s="2" t="s">
        <v>0</v>
      </c>
      <c r="F337" s="2" t="str">
        <f t="shared" si="31"/>
        <v>NV11843776VàoSáng</v>
      </c>
      <c r="G337" s="52" t="str">
        <f t="shared" si="32"/>
        <v>08:00:07</v>
      </c>
      <c r="H337" s="53" t="str">
        <f t="shared" si="33"/>
        <v>Vào</v>
      </c>
      <c r="I337" s="53" t="str">
        <f t="shared" si="34"/>
        <v>Sáng</v>
      </c>
      <c r="J337" s="53" t="s">
        <v>39</v>
      </c>
      <c r="K337" s="53" t="s">
        <v>102</v>
      </c>
      <c r="L337" s="54">
        <f t="shared" si="35"/>
        <v>43776</v>
      </c>
      <c r="M337" s="54"/>
    </row>
    <row r="338" spans="1:13" s="47" customFormat="1" ht="13.8" x14ac:dyDescent="0.3">
      <c r="A338" s="1" t="s">
        <v>44</v>
      </c>
      <c r="B338" s="3">
        <v>43775.738657407404</v>
      </c>
      <c r="C338" s="2" t="s">
        <v>37</v>
      </c>
      <c r="D338" s="2" t="str">
        <f t="shared" si="30"/>
        <v>NV118</v>
      </c>
      <c r="E338" s="2" t="s">
        <v>0</v>
      </c>
      <c r="F338" s="2" t="str">
        <f t="shared" si="31"/>
        <v>NV11843775RaChiều</v>
      </c>
      <c r="G338" s="52" t="str">
        <f t="shared" si="32"/>
        <v>17:43:40</v>
      </c>
      <c r="H338" s="53" t="str">
        <f t="shared" si="33"/>
        <v>Ra</v>
      </c>
      <c r="I338" s="53" t="str">
        <f t="shared" si="34"/>
        <v>Chiều</v>
      </c>
      <c r="J338" s="53" t="s">
        <v>37</v>
      </c>
      <c r="K338" s="53" t="s">
        <v>103</v>
      </c>
      <c r="L338" s="54">
        <f t="shared" si="35"/>
        <v>43775</v>
      </c>
      <c r="M338" s="54"/>
    </row>
    <row r="339" spans="1:13" s="47" customFormat="1" ht="13.8" x14ac:dyDescent="0.3">
      <c r="A339" s="1" t="s">
        <v>44</v>
      </c>
      <c r="B339" s="3">
        <v>43775.729479166665</v>
      </c>
      <c r="C339" s="2" t="s">
        <v>37</v>
      </c>
      <c r="D339" s="2" t="str">
        <f t="shared" si="30"/>
        <v>NV118</v>
      </c>
      <c r="E339" s="2" t="s">
        <v>0</v>
      </c>
      <c r="F339" s="2" t="str">
        <f t="shared" si="31"/>
        <v>NV11843775RaChiều</v>
      </c>
      <c r="G339" s="52" t="str">
        <f t="shared" si="32"/>
        <v>17:30:27</v>
      </c>
      <c r="H339" s="53" t="str">
        <f t="shared" si="33"/>
        <v>Ra</v>
      </c>
      <c r="I339" s="53" t="str">
        <f t="shared" si="34"/>
        <v>Chiều</v>
      </c>
      <c r="J339" s="53" t="s">
        <v>37</v>
      </c>
      <c r="K339" s="53" t="s">
        <v>103</v>
      </c>
      <c r="L339" s="54">
        <f t="shared" si="35"/>
        <v>43775</v>
      </c>
      <c r="M339" s="54"/>
    </row>
    <row r="340" spans="1:13" s="47" customFormat="1" ht="13.8" x14ac:dyDescent="0.3">
      <c r="A340" s="1" t="s">
        <v>44</v>
      </c>
      <c r="B340" s="3">
        <v>43775.336354166662</v>
      </c>
      <c r="C340" s="2" t="s">
        <v>37</v>
      </c>
      <c r="D340" s="2" t="str">
        <f t="shared" si="30"/>
        <v>NV118</v>
      </c>
      <c r="E340" s="2" t="s">
        <v>0</v>
      </c>
      <c r="F340" s="2" t="str">
        <f t="shared" si="31"/>
        <v>NV11843775VàoSáng</v>
      </c>
      <c r="G340" s="52" t="str">
        <f t="shared" si="32"/>
        <v>08:04:21</v>
      </c>
      <c r="H340" s="53" t="str">
        <f t="shared" si="33"/>
        <v>Vào</v>
      </c>
      <c r="I340" s="53" t="str">
        <f t="shared" si="34"/>
        <v>Sáng</v>
      </c>
      <c r="J340" s="53" t="s">
        <v>39</v>
      </c>
      <c r="K340" s="53" t="s">
        <v>102</v>
      </c>
      <c r="L340" s="54">
        <f t="shared" si="35"/>
        <v>43775</v>
      </c>
      <c r="M340" s="54"/>
    </row>
    <row r="341" spans="1:13" s="47" customFormat="1" ht="13.8" x14ac:dyDescent="0.3">
      <c r="A341" s="1" t="s">
        <v>44</v>
      </c>
      <c r="B341" s="3">
        <v>43774.735648148147</v>
      </c>
      <c r="C341" s="2" t="s">
        <v>37</v>
      </c>
      <c r="D341" s="2" t="str">
        <f t="shared" si="30"/>
        <v>NV118</v>
      </c>
      <c r="E341" s="2" t="s">
        <v>0</v>
      </c>
      <c r="F341" s="2" t="str">
        <f t="shared" si="31"/>
        <v>NV11843774RaChiều</v>
      </c>
      <c r="G341" s="52" t="str">
        <f t="shared" si="32"/>
        <v>17:39:20</v>
      </c>
      <c r="H341" s="53" t="str">
        <f t="shared" si="33"/>
        <v>Ra</v>
      </c>
      <c r="I341" s="53" t="str">
        <f t="shared" si="34"/>
        <v>Chiều</v>
      </c>
      <c r="J341" s="53" t="s">
        <v>37</v>
      </c>
      <c r="K341" s="53" t="s">
        <v>103</v>
      </c>
      <c r="L341" s="54">
        <f t="shared" si="35"/>
        <v>43774</v>
      </c>
      <c r="M341" s="54"/>
    </row>
    <row r="342" spans="1:13" s="47" customFormat="1" ht="13.8" x14ac:dyDescent="0.3">
      <c r="A342" s="1" t="s">
        <v>44</v>
      </c>
      <c r="B342" s="3">
        <v>43774.330474537033</v>
      </c>
      <c r="C342" s="2" t="s">
        <v>37</v>
      </c>
      <c r="D342" s="2" t="str">
        <f t="shared" si="30"/>
        <v>NV118</v>
      </c>
      <c r="E342" s="2" t="s">
        <v>0</v>
      </c>
      <c r="F342" s="2" t="str">
        <f t="shared" si="31"/>
        <v>NV11843774VàoSáng</v>
      </c>
      <c r="G342" s="52" t="str">
        <f t="shared" si="32"/>
        <v>07:55:53</v>
      </c>
      <c r="H342" s="53" t="str">
        <f t="shared" si="33"/>
        <v>Vào</v>
      </c>
      <c r="I342" s="53" t="str">
        <f t="shared" si="34"/>
        <v>Sáng</v>
      </c>
      <c r="J342" s="53" t="s">
        <v>39</v>
      </c>
      <c r="K342" s="53" t="s">
        <v>102</v>
      </c>
      <c r="L342" s="54">
        <f t="shared" si="35"/>
        <v>43774</v>
      </c>
      <c r="M342" s="54"/>
    </row>
    <row r="343" spans="1:13" s="47" customFormat="1" ht="13.8" x14ac:dyDescent="0.3">
      <c r="A343" s="1" t="s">
        <v>44</v>
      </c>
      <c r="B343" s="3">
        <v>43773.736296296294</v>
      </c>
      <c r="C343" s="2" t="s">
        <v>37</v>
      </c>
      <c r="D343" s="2" t="str">
        <f t="shared" si="30"/>
        <v>NV118</v>
      </c>
      <c r="E343" s="2" t="s">
        <v>0</v>
      </c>
      <c r="F343" s="2" t="str">
        <f t="shared" si="31"/>
        <v>NV11843773RaChiều</v>
      </c>
      <c r="G343" s="52" t="str">
        <f t="shared" si="32"/>
        <v>17:40:16</v>
      </c>
      <c r="H343" s="53" t="str">
        <f t="shared" si="33"/>
        <v>Ra</v>
      </c>
      <c r="I343" s="53" t="str">
        <f t="shared" si="34"/>
        <v>Chiều</v>
      </c>
      <c r="J343" s="53" t="s">
        <v>37</v>
      </c>
      <c r="K343" s="53" t="s">
        <v>103</v>
      </c>
      <c r="L343" s="54">
        <f t="shared" si="35"/>
        <v>43773</v>
      </c>
      <c r="M343" s="54"/>
    </row>
    <row r="344" spans="1:13" s="47" customFormat="1" ht="13.8" x14ac:dyDescent="0.3">
      <c r="A344" s="1" t="s">
        <v>44</v>
      </c>
      <c r="B344" s="3">
        <v>43773.330972222218</v>
      </c>
      <c r="C344" s="2" t="s">
        <v>37</v>
      </c>
      <c r="D344" s="2" t="str">
        <f t="shared" si="30"/>
        <v>NV118</v>
      </c>
      <c r="E344" s="2" t="s">
        <v>0</v>
      </c>
      <c r="F344" s="2" t="str">
        <f t="shared" si="31"/>
        <v>NV11843773VàoSáng</v>
      </c>
      <c r="G344" s="52" t="str">
        <f t="shared" si="32"/>
        <v>07:56:36</v>
      </c>
      <c r="H344" s="53" t="str">
        <f t="shared" si="33"/>
        <v>Vào</v>
      </c>
      <c r="I344" s="53" t="str">
        <f t="shared" si="34"/>
        <v>Sáng</v>
      </c>
      <c r="J344" s="53" t="s">
        <v>39</v>
      </c>
      <c r="K344" s="53" t="s">
        <v>102</v>
      </c>
      <c r="L344" s="54">
        <f t="shared" si="35"/>
        <v>43773</v>
      </c>
      <c r="M344" s="54"/>
    </row>
    <row r="345" spans="1:13" s="47" customFormat="1" ht="13.8" x14ac:dyDescent="0.3">
      <c r="A345" s="1" t="s">
        <v>44</v>
      </c>
      <c r="B345" s="3">
        <v>43771.738935185182</v>
      </c>
      <c r="C345" s="2" t="s">
        <v>37</v>
      </c>
      <c r="D345" s="2" t="str">
        <f t="shared" si="30"/>
        <v>NV118</v>
      </c>
      <c r="E345" s="2" t="s">
        <v>0</v>
      </c>
      <c r="F345" s="2" t="str">
        <f t="shared" si="31"/>
        <v>NV11843771RaChiều</v>
      </c>
      <c r="G345" s="52" t="str">
        <f t="shared" si="32"/>
        <v>17:44:04</v>
      </c>
      <c r="H345" s="53" t="str">
        <f t="shared" si="33"/>
        <v>Ra</v>
      </c>
      <c r="I345" s="53" t="str">
        <f t="shared" si="34"/>
        <v>Chiều</v>
      </c>
      <c r="J345" s="53" t="s">
        <v>37</v>
      </c>
      <c r="K345" s="53" t="s">
        <v>103</v>
      </c>
      <c r="L345" s="54">
        <f t="shared" si="35"/>
        <v>43771</v>
      </c>
      <c r="M345" s="54"/>
    </row>
    <row r="346" spans="1:13" s="47" customFormat="1" ht="13.8" x14ac:dyDescent="0.3">
      <c r="A346" s="1" t="s">
        <v>44</v>
      </c>
      <c r="B346" s="3">
        <v>43771.331307870365</v>
      </c>
      <c r="C346" s="2" t="s">
        <v>37</v>
      </c>
      <c r="D346" s="2" t="str">
        <f t="shared" si="30"/>
        <v>NV118</v>
      </c>
      <c r="E346" s="2" t="s">
        <v>0</v>
      </c>
      <c r="F346" s="2" t="str">
        <f t="shared" si="31"/>
        <v>NV11843771VàoSáng</v>
      </c>
      <c r="G346" s="52" t="str">
        <f t="shared" si="32"/>
        <v>07:57:05</v>
      </c>
      <c r="H346" s="53" t="str">
        <f t="shared" si="33"/>
        <v>Vào</v>
      </c>
      <c r="I346" s="53" t="str">
        <f t="shared" si="34"/>
        <v>Sáng</v>
      </c>
      <c r="J346" s="53" t="s">
        <v>39</v>
      </c>
      <c r="K346" s="53" t="s">
        <v>102</v>
      </c>
      <c r="L346" s="54">
        <f t="shared" si="35"/>
        <v>43771</v>
      </c>
      <c r="M346" s="54"/>
    </row>
    <row r="347" spans="1:13" s="47" customFormat="1" ht="13.8" x14ac:dyDescent="0.3">
      <c r="A347" s="1" t="s">
        <v>44</v>
      </c>
      <c r="B347" s="3">
        <v>43770.729629629626</v>
      </c>
      <c r="C347" s="2" t="s">
        <v>37</v>
      </c>
      <c r="D347" s="2" t="str">
        <f t="shared" si="30"/>
        <v>NV118</v>
      </c>
      <c r="E347" s="2" t="s">
        <v>0</v>
      </c>
      <c r="F347" s="2" t="str">
        <f t="shared" si="31"/>
        <v>NV11843770RaChiều</v>
      </c>
      <c r="G347" s="52" t="str">
        <f t="shared" si="32"/>
        <v>17:30:40</v>
      </c>
      <c r="H347" s="53" t="str">
        <f t="shared" si="33"/>
        <v>Ra</v>
      </c>
      <c r="I347" s="53" t="str">
        <f t="shared" si="34"/>
        <v>Chiều</v>
      </c>
      <c r="J347" s="53" t="s">
        <v>37</v>
      </c>
      <c r="K347" s="53" t="s">
        <v>103</v>
      </c>
      <c r="L347" s="54">
        <f t="shared" si="35"/>
        <v>43770</v>
      </c>
      <c r="M347" s="54"/>
    </row>
    <row r="348" spans="1:13" s="47" customFormat="1" ht="13.8" x14ac:dyDescent="0.3">
      <c r="A348" s="1" t="s">
        <v>44</v>
      </c>
      <c r="B348" s="3">
        <v>43770.327534722222</v>
      </c>
      <c r="C348" s="2" t="s">
        <v>37</v>
      </c>
      <c r="D348" s="2" t="str">
        <f t="shared" si="30"/>
        <v>NV118</v>
      </c>
      <c r="E348" s="2" t="s">
        <v>0</v>
      </c>
      <c r="F348" s="2" t="str">
        <f t="shared" si="31"/>
        <v>NV11843770VàoSáng</v>
      </c>
      <c r="G348" s="52" t="str">
        <f t="shared" si="32"/>
        <v>07:51:39</v>
      </c>
      <c r="H348" s="53" t="str">
        <f t="shared" si="33"/>
        <v>Vào</v>
      </c>
      <c r="I348" s="53" t="str">
        <f t="shared" si="34"/>
        <v>Sáng</v>
      </c>
      <c r="J348" s="53" t="s">
        <v>39</v>
      </c>
      <c r="K348" s="53" t="s">
        <v>102</v>
      </c>
      <c r="L348" s="54">
        <f t="shared" si="35"/>
        <v>43770</v>
      </c>
      <c r="M348" s="54"/>
    </row>
    <row r="349" spans="1:13" s="47" customFormat="1" ht="13.8" x14ac:dyDescent="0.3">
      <c r="A349" s="1" t="s">
        <v>45</v>
      </c>
      <c r="B349" s="3">
        <v>43799.730891203704</v>
      </c>
      <c r="C349" s="2" t="s">
        <v>37</v>
      </c>
      <c r="D349" s="2" t="str">
        <f t="shared" si="30"/>
        <v>NV122</v>
      </c>
      <c r="E349" s="2" t="s">
        <v>0</v>
      </c>
      <c r="F349" s="2" t="str">
        <f t="shared" si="31"/>
        <v>NV12243799RaChiều</v>
      </c>
      <c r="G349" s="52" t="str">
        <f t="shared" si="32"/>
        <v>17:32:29</v>
      </c>
      <c r="H349" s="53" t="str">
        <f t="shared" si="33"/>
        <v>Ra</v>
      </c>
      <c r="I349" s="53" t="str">
        <f t="shared" si="34"/>
        <v>Chiều</v>
      </c>
      <c r="J349" s="53" t="s">
        <v>37</v>
      </c>
      <c r="K349" s="53" t="s">
        <v>103</v>
      </c>
      <c r="L349" s="54">
        <f t="shared" si="35"/>
        <v>43799</v>
      </c>
      <c r="M349" s="54"/>
    </row>
    <row r="350" spans="1:13" s="47" customFormat="1" ht="13.8" x14ac:dyDescent="0.3">
      <c r="A350" s="1" t="s">
        <v>45</v>
      </c>
      <c r="B350" s="3">
        <v>43799.328240740739</v>
      </c>
      <c r="C350" s="2" t="s">
        <v>37</v>
      </c>
      <c r="D350" s="2" t="str">
        <f t="shared" si="30"/>
        <v>NV122</v>
      </c>
      <c r="E350" s="2" t="s">
        <v>0</v>
      </c>
      <c r="F350" s="2" t="str">
        <f t="shared" si="31"/>
        <v>NV12243799VàoSáng</v>
      </c>
      <c r="G350" s="52" t="str">
        <f t="shared" si="32"/>
        <v>07:52:40</v>
      </c>
      <c r="H350" s="53" t="str">
        <f t="shared" si="33"/>
        <v>Vào</v>
      </c>
      <c r="I350" s="53" t="str">
        <f t="shared" si="34"/>
        <v>Sáng</v>
      </c>
      <c r="J350" s="53" t="s">
        <v>39</v>
      </c>
      <c r="K350" s="53" t="s">
        <v>102</v>
      </c>
      <c r="L350" s="54">
        <f t="shared" si="35"/>
        <v>43799</v>
      </c>
      <c r="M350" s="54"/>
    </row>
    <row r="351" spans="1:13" s="47" customFormat="1" ht="13.8" x14ac:dyDescent="0.3">
      <c r="A351" s="1" t="s">
        <v>45</v>
      </c>
      <c r="B351" s="3">
        <v>43798.729571759257</v>
      </c>
      <c r="C351" s="2" t="s">
        <v>37</v>
      </c>
      <c r="D351" s="2" t="str">
        <f t="shared" si="30"/>
        <v>NV122</v>
      </c>
      <c r="E351" s="2" t="s">
        <v>0</v>
      </c>
      <c r="F351" s="2" t="str">
        <f t="shared" si="31"/>
        <v>NV12243798RaChiều</v>
      </c>
      <c r="G351" s="52" t="str">
        <f t="shared" si="32"/>
        <v>17:30:35</v>
      </c>
      <c r="H351" s="53" t="str">
        <f t="shared" si="33"/>
        <v>Ra</v>
      </c>
      <c r="I351" s="53" t="str">
        <f t="shared" si="34"/>
        <v>Chiều</v>
      </c>
      <c r="J351" s="53" t="s">
        <v>37</v>
      </c>
      <c r="K351" s="53" t="s">
        <v>103</v>
      </c>
      <c r="L351" s="54">
        <f t="shared" si="35"/>
        <v>43798</v>
      </c>
      <c r="M351" s="54"/>
    </row>
    <row r="352" spans="1:13" s="47" customFormat="1" ht="13.8" x14ac:dyDescent="0.3">
      <c r="A352" s="1" t="s">
        <v>45</v>
      </c>
      <c r="B352" s="3">
        <v>43798.332094907404</v>
      </c>
      <c r="C352" s="2" t="s">
        <v>37</v>
      </c>
      <c r="D352" s="2" t="str">
        <f t="shared" si="30"/>
        <v>NV122</v>
      </c>
      <c r="E352" s="2" t="s">
        <v>0</v>
      </c>
      <c r="F352" s="2" t="str">
        <f t="shared" si="31"/>
        <v>NV12243798VàoSáng</v>
      </c>
      <c r="G352" s="52" t="str">
        <f t="shared" si="32"/>
        <v>07:58:13</v>
      </c>
      <c r="H352" s="53" t="str">
        <f t="shared" si="33"/>
        <v>Vào</v>
      </c>
      <c r="I352" s="53" t="str">
        <f t="shared" si="34"/>
        <v>Sáng</v>
      </c>
      <c r="J352" s="53" t="s">
        <v>39</v>
      </c>
      <c r="K352" s="53" t="s">
        <v>102</v>
      </c>
      <c r="L352" s="54">
        <f t="shared" si="35"/>
        <v>43798</v>
      </c>
      <c r="M352" s="54"/>
    </row>
    <row r="353" spans="1:13" s="47" customFormat="1" ht="13.8" x14ac:dyDescent="0.3">
      <c r="A353" s="1" t="s">
        <v>45</v>
      </c>
      <c r="B353" s="3">
        <v>43797.733969907407</v>
      </c>
      <c r="C353" s="2" t="s">
        <v>37</v>
      </c>
      <c r="D353" s="2" t="str">
        <f t="shared" si="30"/>
        <v>NV122</v>
      </c>
      <c r="E353" s="2" t="s">
        <v>0</v>
      </c>
      <c r="F353" s="2" t="str">
        <f t="shared" si="31"/>
        <v>NV12243797RaChiều</v>
      </c>
      <c r="G353" s="52" t="str">
        <f t="shared" si="32"/>
        <v>17:36:55</v>
      </c>
      <c r="H353" s="53" t="str">
        <f t="shared" si="33"/>
        <v>Ra</v>
      </c>
      <c r="I353" s="53" t="str">
        <f t="shared" si="34"/>
        <v>Chiều</v>
      </c>
      <c r="J353" s="53" t="s">
        <v>37</v>
      </c>
      <c r="K353" s="53" t="s">
        <v>103</v>
      </c>
      <c r="L353" s="54">
        <f t="shared" si="35"/>
        <v>43797</v>
      </c>
      <c r="M353" s="54"/>
    </row>
    <row r="354" spans="1:13" s="47" customFormat="1" ht="13.8" x14ac:dyDescent="0.3">
      <c r="A354" s="1" t="s">
        <v>45</v>
      </c>
      <c r="B354" s="3">
        <v>43797.334085648145</v>
      </c>
      <c r="C354" s="2" t="s">
        <v>37</v>
      </c>
      <c r="D354" s="2" t="str">
        <f t="shared" si="30"/>
        <v>NV122</v>
      </c>
      <c r="E354" s="2" t="s">
        <v>0</v>
      </c>
      <c r="F354" s="2" t="str">
        <f t="shared" si="31"/>
        <v>NV12243797VàoSáng</v>
      </c>
      <c r="G354" s="52" t="str">
        <f t="shared" si="32"/>
        <v>08:01:05</v>
      </c>
      <c r="H354" s="53" t="str">
        <f t="shared" si="33"/>
        <v>Vào</v>
      </c>
      <c r="I354" s="53" t="str">
        <f t="shared" si="34"/>
        <v>Sáng</v>
      </c>
      <c r="J354" s="53" t="s">
        <v>39</v>
      </c>
      <c r="K354" s="53" t="s">
        <v>102</v>
      </c>
      <c r="L354" s="54">
        <f t="shared" si="35"/>
        <v>43797</v>
      </c>
      <c r="M354" s="54"/>
    </row>
    <row r="355" spans="1:13" s="47" customFormat="1" ht="13.8" x14ac:dyDescent="0.3">
      <c r="A355" s="1" t="s">
        <v>45</v>
      </c>
      <c r="B355" s="3">
        <v>43796.729791666665</v>
      </c>
      <c r="C355" s="2" t="s">
        <v>37</v>
      </c>
      <c r="D355" s="2" t="str">
        <f t="shared" si="30"/>
        <v>NV122</v>
      </c>
      <c r="E355" s="2" t="s">
        <v>0</v>
      </c>
      <c r="F355" s="2" t="str">
        <f t="shared" si="31"/>
        <v>NV12243796RaChiều</v>
      </c>
      <c r="G355" s="52" t="str">
        <f t="shared" si="32"/>
        <v>17:30:54</v>
      </c>
      <c r="H355" s="53" t="str">
        <f t="shared" si="33"/>
        <v>Ra</v>
      </c>
      <c r="I355" s="53" t="str">
        <f t="shared" si="34"/>
        <v>Chiều</v>
      </c>
      <c r="J355" s="53" t="s">
        <v>37</v>
      </c>
      <c r="K355" s="53" t="s">
        <v>103</v>
      </c>
      <c r="L355" s="54">
        <f t="shared" si="35"/>
        <v>43796</v>
      </c>
      <c r="M355" s="54"/>
    </row>
    <row r="356" spans="1:13" s="47" customFormat="1" ht="13.8" x14ac:dyDescent="0.3">
      <c r="A356" s="1" t="s">
        <v>45</v>
      </c>
      <c r="B356" s="3">
        <v>43796.334490740737</v>
      </c>
      <c r="C356" s="2" t="s">
        <v>37</v>
      </c>
      <c r="D356" s="2" t="str">
        <f t="shared" si="30"/>
        <v>NV122</v>
      </c>
      <c r="E356" s="2" t="s">
        <v>0</v>
      </c>
      <c r="F356" s="2" t="str">
        <f t="shared" si="31"/>
        <v>NV12243796VàoSáng</v>
      </c>
      <c r="G356" s="52" t="str">
        <f t="shared" si="32"/>
        <v>08:01:40</v>
      </c>
      <c r="H356" s="53" t="str">
        <f t="shared" si="33"/>
        <v>Vào</v>
      </c>
      <c r="I356" s="53" t="str">
        <f t="shared" si="34"/>
        <v>Sáng</v>
      </c>
      <c r="J356" s="53" t="s">
        <v>39</v>
      </c>
      <c r="K356" s="53" t="s">
        <v>102</v>
      </c>
      <c r="L356" s="54">
        <f t="shared" si="35"/>
        <v>43796</v>
      </c>
      <c r="M356" s="54"/>
    </row>
    <row r="357" spans="1:13" s="47" customFormat="1" ht="13.8" x14ac:dyDescent="0.3">
      <c r="A357" s="1" t="s">
        <v>45</v>
      </c>
      <c r="B357" s="3">
        <v>43795.729861111111</v>
      </c>
      <c r="C357" s="2" t="s">
        <v>37</v>
      </c>
      <c r="D357" s="2" t="str">
        <f t="shared" si="30"/>
        <v>NV122</v>
      </c>
      <c r="E357" s="2" t="s">
        <v>0</v>
      </c>
      <c r="F357" s="2" t="str">
        <f t="shared" si="31"/>
        <v>NV12243795RaChiều</v>
      </c>
      <c r="G357" s="52" t="str">
        <f t="shared" si="32"/>
        <v>17:31:00</v>
      </c>
      <c r="H357" s="53" t="str">
        <f t="shared" si="33"/>
        <v>Ra</v>
      </c>
      <c r="I357" s="53" t="str">
        <f t="shared" si="34"/>
        <v>Chiều</v>
      </c>
      <c r="J357" s="53" t="s">
        <v>37</v>
      </c>
      <c r="K357" s="53" t="s">
        <v>103</v>
      </c>
      <c r="L357" s="54">
        <f t="shared" si="35"/>
        <v>43795</v>
      </c>
      <c r="M357" s="54"/>
    </row>
    <row r="358" spans="1:13" s="47" customFormat="1" ht="13.8" x14ac:dyDescent="0.3">
      <c r="A358" s="1" t="s">
        <v>45</v>
      </c>
      <c r="B358" s="3">
        <v>43795.330208333333</v>
      </c>
      <c r="C358" s="2" t="s">
        <v>37</v>
      </c>
      <c r="D358" s="2" t="str">
        <f t="shared" si="30"/>
        <v>NV122</v>
      </c>
      <c r="E358" s="2" t="s">
        <v>0</v>
      </c>
      <c r="F358" s="2" t="str">
        <f t="shared" si="31"/>
        <v>NV12243795VàoSáng</v>
      </c>
      <c r="G358" s="52" t="str">
        <f t="shared" si="32"/>
        <v>07:55:30</v>
      </c>
      <c r="H358" s="53" t="str">
        <f t="shared" si="33"/>
        <v>Vào</v>
      </c>
      <c r="I358" s="53" t="str">
        <f t="shared" si="34"/>
        <v>Sáng</v>
      </c>
      <c r="J358" s="53" t="s">
        <v>39</v>
      </c>
      <c r="K358" s="53" t="s">
        <v>102</v>
      </c>
      <c r="L358" s="54">
        <f t="shared" si="35"/>
        <v>43795</v>
      </c>
      <c r="M358" s="54"/>
    </row>
    <row r="359" spans="1:13" s="47" customFormat="1" ht="13.8" x14ac:dyDescent="0.3">
      <c r="A359" s="1" t="s">
        <v>45</v>
      </c>
      <c r="B359" s="3">
        <v>43794.732129629629</v>
      </c>
      <c r="C359" s="2" t="s">
        <v>37</v>
      </c>
      <c r="D359" s="2" t="str">
        <f t="shared" si="30"/>
        <v>NV122</v>
      </c>
      <c r="E359" s="2" t="s">
        <v>0</v>
      </c>
      <c r="F359" s="2" t="str">
        <f t="shared" si="31"/>
        <v>NV12243794RaChiều</v>
      </c>
      <c r="G359" s="52" t="str">
        <f t="shared" si="32"/>
        <v>17:34:16</v>
      </c>
      <c r="H359" s="53" t="str">
        <f t="shared" si="33"/>
        <v>Ra</v>
      </c>
      <c r="I359" s="53" t="str">
        <f t="shared" si="34"/>
        <v>Chiều</v>
      </c>
      <c r="J359" s="53" t="s">
        <v>37</v>
      </c>
      <c r="K359" s="53" t="s">
        <v>103</v>
      </c>
      <c r="L359" s="54">
        <f t="shared" si="35"/>
        <v>43794</v>
      </c>
      <c r="M359" s="54"/>
    </row>
    <row r="360" spans="1:13" s="47" customFormat="1" ht="13.8" x14ac:dyDescent="0.3">
      <c r="A360" s="1" t="s">
        <v>45</v>
      </c>
      <c r="B360" s="3">
        <v>43794.336006944446</v>
      </c>
      <c r="C360" s="2" t="s">
        <v>37</v>
      </c>
      <c r="D360" s="2" t="str">
        <f t="shared" si="30"/>
        <v>NV122</v>
      </c>
      <c r="E360" s="2" t="s">
        <v>0</v>
      </c>
      <c r="F360" s="2" t="str">
        <f t="shared" si="31"/>
        <v>NV12243794VàoSáng</v>
      </c>
      <c r="G360" s="52" t="str">
        <f t="shared" si="32"/>
        <v>08:03:51</v>
      </c>
      <c r="H360" s="53" t="str">
        <f t="shared" si="33"/>
        <v>Vào</v>
      </c>
      <c r="I360" s="53" t="str">
        <f t="shared" si="34"/>
        <v>Sáng</v>
      </c>
      <c r="J360" s="53" t="s">
        <v>39</v>
      </c>
      <c r="K360" s="53" t="s">
        <v>102</v>
      </c>
      <c r="L360" s="54">
        <f t="shared" si="35"/>
        <v>43794</v>
      </c>
      <c r="M360" s="54"/>
    </row>
    <row r="361" spans="1:13" s="47" customFormat="1" ht="13.8" x14ac:dyDescent="0.3">
      <c r="A361" s="1" t="s">
        <v>45</v>
      </c>
      <c r="B361" s="3">
        <v>43792.731562499997</v>
      </c>
      <c r="C361" s="2" t="s">
        <v>37</v>
      </c>
      <c r="D361" s="2" t="str">
        <f t="shared" si="30"/>
        <v>NV122</v>
      </c>
      <c r="E361" s="2" t="s">
        <v>0</v>
      </c>
      <c r="F361" s="2" t="str">
        <f t="shared" si="31"/>
        <v>NV12243792RaChiều</v>
      </c>
      <c r="G361" s="52" t="str">
        <f t="shared" si="32"/>
        <v>17:33:27</v>
      </c>
      <c r="H361" s="53" t="str">
        <f t="shared" si="33"/>
        <v>Ra</v>
      </c>
      <c r="I361" s="53" t="str">
        <f t="shared" si="34"/>
        <v>Chiều</v>
      </c>
      <c r="J361" s="53" t="s">
        <v>37</v>
      </c>
      <c r="K361" s="53" t="s">
        <v>103</v>
      </c>
      <c r="L361" s="54">
        <f t="shared" si="35"/>
        <v>43792</v>
      </c>
      <c r="M361" s="54"/>
    </row>
    <row r="362" spans="1:13" s="47" customFormat="1" ht="13.8" x14ac:dyDescent="0.3">
      <c r="A362" s="1" t="s">
        <v>45</v>
      </c>
      <c r="B362" s="3">
        <v>43792.325486111113</v>
      </c>
      <c r="C362" s="2" t="s">
        <v>37</v>
      </c>
      <c r="D362" s="2" t="str">
        <f t="shared" si="30"/>
        <v>NV122</v>
      </c>
      <c r="E362" s="2" t="s">
        <v>0</v>
      </c>
      <c r="F362" s="2" t="str">
        <f t="shared" si="31"/>
        <v>NV12243792VàoSáng</v>
      </c>
      <c r="G362" s="52" t="str">
        <f t="shared" si="32"/>
        <v>07:48:42</v>
      </c>
      <c r="H362" s="53" t="str">
        <f t="shared" si="33"/>
        <v>Vào</v>
      </c>
      <c r="I362" s="53" t="str">
        <f t="shared" si="34"/>
        <v>Sáng</v>
      </c>
      <c r="J362" s="53" t="s">
        <v>39</v>
      </c>
      <c r="K362" s="53" t="s">
        <v>102</v>
      </c>
      <c r="L362" s="54">
        <f t="shared" si="35"/>
        <v>43792</v>
      </c>
      <c r="M362" s="54"/>
    </row>
    <row r="363" spans="1:13" s="47" customFormat="1" ht="13.8" x14ac:dyDescent="0.3">
      <c r="A363" s="1" t="s">
        <v>45</v>
      </c>
      <c r="B363" s="3">
        <v>43791.734270833331</v>
      </c>
      <c r="C363" s="2" t="s">
        <v>37</v>
      </c>
      <c r="D363" s="2" t="str">
        <f t="shared" si="30"/>
        <v>NV122</v>
      </c>
      <c r="E363" s="2" t="s">
        <v>0</v>
      </c>
      <c r="F363" s="2" t="str">
        <f t="shared" si="31"/>
        <v>NV12243791RaChiều</v>
      </c>
      <c r="G363" s="52" t="str">
        <f t="shared" si="32"/>
        <v>17:37:21</v>
      </c>
      <c r="H363" s="53" t="str">
        <f t="shared" si="33"/>
        <v>Ra</v>
      </c>
      <c r="I363" s="53" t="str">
        <f t="shared" si="34"/>
        <v>Chiều</v>
      </c>
      <c r="J363" s="53" t="s">
        <v>37</v>
      </c>
      <c r="K363" s="53" t="s">
        <v>103</v>
      </c>
      <c r="L363" s="54">
        <f t="shared" si="35"/>
        <v>43791</v>
      </c>
      <c r="M363" s="54"/>
    </row>
    <row r="364" spans="1:13" s="47" customFormat="1" ht="13.8" x14ac:dyDescent="0.3">
      <c r="A364" s="1" t="s">
        <v>45</v>
      </c>
      <c r="B364" s="3">
        <v>43791.335034722222</v>
      </c>
      <c r="C364" s="2" t="s">
        <v>37</v>
      </c>
      <c r="D364" s="2" t="str">
        <f t="shared" si="30"/>
        <v>NV122</v>
      </c>
      <c r="E364" s="2" t="s">
        <v>0</v>
      </c>
      <c r="F364" s="2" t="str">
        <f t="shared" si="31"/>
        <v>NV12243791VàoSáng</v>
      </c>
      <c r="G364" s="52" t="str">
        <f t="shared" si="32"/>
        <v>08:02:27</v>
      </c>
      <c r="H364" s="53" t="str">
        <f t="shared" si="33"/>
        <v>Vào</v>
      </c>
      <c r="I364" s="53" t="str">
        <f t="shared" si="34"/>
        <v>Sáng</v>
      </c>
      <c r="J364" s="53" t="s">
        <v>39</v>
      </c>
      <c r="K364" s="53" t="s">
        <v>102</v>
      </c>
      <c r="L364" s="54">
        <f t="shared" si="35"/>
        <v>43791</v>
      </c>
      <c r="M364" s="54"/>
    </row>
    <row r="365" spans="1:13" s="47" customFormat="1" ht="13.8" x14ac:dyDescent="0.3">
      <c r="A365" s="1" t="s">
        <v>45</v>
      </c>
      <c r="B365" s="3">
        <v>43790.732233796298</v>
      </c>
      <c r="C365" s="2" t="s">
        <v>37</v>
      </c>
      <c r="D365" s="2" t="str">
        <f t="shared" si="30"/>
        <v>NV122</v>
      </c>
      <c r="E365" s="2" t="s">
        <v>0</v>
      </c>
      <c r="F365" s="2" t="str">
        <f t="shared" si="31"/>
        <v>NV12243790RaChiều</v>
      </c>
      <c r="G365" s="52" t="str">
        <f t="shared" si="32"/>
        <v>17:34:25</v>
      </c>
      <c r="H365" s="53" t="str">
        <f t="shared" si="33"/>
        <v>Ra</v>
      </c>
      <c r="I365" s="53" t="str">
        <f t="shared" si="34"/>
        <v>Chiều</v>
      </c>
      <c r="J365" s="53" t="s">
        <v>37</v>
      </c>
      <c r="K365" s="53" t="s">
        <v>103</v>
      </c>
      <c r="L365" s="54">
        <f t="shared" si="35"/>
        <v>43790</v>
      </c>
      <c r="M365" s="54"/>
    </row>
    <row r="366" spans="1:13" s="47" customFormat="1" ht="13.8" x14ac:dyDescent="0.3">
      <c r="A366" s="1" t="s">
        <v>45</v>
      </c>
      <c r="B366" s="3">
        <v>43790.730578703704</v>
      </c>
      <c r="C366" s="2" t="s">
        <v>37</v>
      </c>
      <c r="D366" s="2" t="str">
        <f t="shared" si="30"/>
        <v>NV122</v>
      </c>
      <c r="E366" s="2" t="s">
        <v>0</v>
      </c>
      <c r="F366" s="2" t="str">
        <f t="shared" si="31"/>
        <v>NV12243790RaChiều</v>
      </c>
      <c r="G366" s="52" t="str">
        <f t="shared" si="32"/>
        <v>17:32:02</v>
      </c>
      <c r="H366" s="53" t="str">
        <f t="shared" si="33"/>
        <v>Ra</v>
      </c>
      <c r="I366" s="53" t="str">
        <f t="shared" si="34"/>
        <v>Chiều</v>
      </c>
      <c r="J366" s="53" t="s">
        <v>37</v>
      </c>
      <c r="K366" s="53" t="s">
        <v>103</v>
      </c>
      <c r="L366" s="54">
        <f t="shared" si="35"/>
        <v>43790</v>
      </c>
      <c r="M366" s="54"/>
    </row>
    <row r="367" spans="1:13" s="47" customFormat="1" ht="13.8" x14ac:dyDescent="0.3">
      <c r="A367" s="1" t="s">
        <v>45</v>
      </c>
      <c r="B367" s="3">
        <v>43790.335034722222</v>
      </c>
      <c r="C367" s="2" t="s">
        <v>37</v>
      </c>
      <c r="D367" s="2" t="str">
        <f t="shared" si="30"/>
        <v>NV122</v>
      </c>
      <c r="E367" s="2" t="s">
        <v>0</v>
      </c>
      <c r="F367" s="2" t="str">
        <f t="shared" si="31"/>
        <v>NV12243790VàoSáng</v>
      </c>
      <c r="G367" s="52" t="str">
        <f t="shared" si="32"/>
        <v>08:02:27</v>
      </c>
      <c r="H367" s="53" t="str">
        <f t="shared" si="33"/>
        <v>Vào</v>
      </c>
      <c r="I367" s="53" t="str">
        <f t="shared" si="34"/>
        <v>Sáng</v>
      </c>
      <c r="J367" s="53" t="s">
        <v>39</v>
      </c>
      <c r="K367" s="53" t="s">
        <v>102</v>
      </c>
      <c r="L367" s="54">
        <f t="shared" si="35"/>
        <v>43790</v>
      </c>
      <c r="M367" s="54"/>
    </row>
    <row r="368" spans="1:13" s="47" customFormat="1" ht="13.8" x14ac:dyDescent="0.3">
      <c r="A368" s="1" t="s">
        <v>45</v>
      </c>
      <c r="B368" s="3">
        <v>43789.730856481481</v>
      </c>
      <c r="C368" s="2" t="s">
        <v>37</v>
      </c>
      <c r="D368" s="2" t="str">
        <f t="shared" si="30"/>
        <v>NV122</v>
      </c>
      <c r="E368" s="2" t="s">
        <v>0</v>
      </c>
      <c r="F368" s="2" t="str">
        <f t="shared" si="31"/>
        <v>NV12243789RaChiều</v>
      </c>
      <c r="G368" s="52" t="str">
        <f t="shared" si="32"/>
        <v>17:32:26</v>
      </c>
      <c r="H368" s="53" t="str">
        <f t="shared" si="33"/>
        <v>Ra</v>
      </c>
      <c r="I368" s="53" t="str">
        <f t="shared" si="34"/>
        <v>Chiều</v>
      </c>
      <c r="J368" s="53" t="s">
        <v>37</v>
      </c>
      <c r="K368" s="53" t="s">
        <v>103</v>
      </c>
      <c r="L368" s="54">
        <f t="shared" si="35"/>
        <v>43789</v>
      </c>
      <c r="M368" s="54"/>
    </row>
    <row r="369" spans="1:13" s="47" customFormat="1" ht="13.8" x14ac:dyDescent="0.3">
      <c r="A369" s="1" t="s">
        <v>45</v>
      </c>
      <c r="B369" s="3">
        <v>43789.338148148148</v>
      </c>
      <c r="C369" s="2" t="s">
        <v>37</v>
      </c>
      <c r="D369" s="2" t="str">
        <f t="shared" si="30"/>
        <v>NV122</v>
      </c>
      <c r="E369" s="2" t="s">
        <v>0</v>
      </c>
      <c r="F369" s="2" t="str">
        <f t="shared" si="31"/>
        <v>NV12243789VàoSáng</v>
      </c>
      <c r="G369" s="52" t="str">
        <f t="shared" si="32"/>
        <v>08:06:56</v>
      </c>
      <c r="H369" s="53" t="str">
        <f t="shared" si="33"/>
        <v>Vào</v>
      </c>
      <c r="I369" s="53" t="str">
        <f t="shared" si="34"/>
        <v>Sáng</v>
      </c>
      <c r="J369" s="53" t="s">
        <v>39</v>
      </c>
      <c r="K369" s="53" t="s">
        <v>102</v>
      </c>
      <c r="L369" s="54">
        <f t="shared" si="35"/>
        <v>43789</v>
      </c>
      <c r="M369" s="54"/>
    </row>
    <row r="370" spans="1:13" s="47" customFormat="1" ht="13.8" x14ac:dyDescent="0.3">
      <c r="A370" s="1" t="s">
        <v>45</v>
      </c>
      <c r="B370" s="3">
        <v>43788.732222222221</v>
      </c>
      <c r="C370" s="2" t="s">
        <v>37</v>
      </c>
      <c r="D370" s="2" t="str">
        <f t="shared" si="30"/>
        <v>NV122</v>
      </c>
      <c r="E370" s="2" t="s">
        <v>0</v>
      </c>
      <c r="F370" s="2" t="str">
        <f t="shared" si="31"/>
        <v>NV12243788RaChiều</v>
      </c>
      <c r="G370" s="52" t="str">
        <f t="shared" si="32"/>
        <v>17:34:24</v>
      </c>
      <c r="H370" s="53" t="str">
        <f t="shared" si="33"/>
        <v>Ra</v>
      </c>
      <c r="I370" s="53" t="str">
        <f t="shared" si="34"/>
        <v>Chiều</v>
      </c>
      <c r="J370" s="53" t="s">
        <v>37</v>
      </c>
      <c r="K370" s="53" t="s">
        <v>103</v>
      </c>
      <c r="L370" s="54">
        <f t="shared" si="35"/>
        <v>43788</v>
      </c>
      <c r="M370" s="54"/>
    </row>
    <row r="371" spans="1:13" s="47" customFormat="1" ht="13.8" x14ac:dyDescent="0.3">
      <c r="A371" s="1" t="s">
        <v>45</v>
      </c>
      <c r="B371" s="3">
        <v>43788.338831018518</v>
      </c>
      <c r="C371" s="2" t="s">
        <v>37</v>
      </c>
      <c r="D371" s="2" t="str">
        <f t="shared" si="30"/>
        <v>NV122</v>
      </c>
      <c r="E371" s="2" t="s">
        <v>0</v>
      </c>
      <c r="F371" s="2" t="str">
        <f t="shared" si="31"/>
        <v>NV12243788VàoSáng</v>
      </c>
      <c r="G371" s="52" t="str">
        <f t="shared" si="32"/>
        <v>08:07:55</v>
      </c>
      <c r="H371" s="53" t="str">
        <f t="shared" si="33"/>
        <v>Vào</v>
      </c>
      <c r="I371" s="53" t="str">
        <f t="shared" si="34"/>
        <v>Sáng</v>
      </c>
      <c r="J371" s="53" t="s">
        <v>39</v>
      </c>
      <c r="K371" s="53" t="s">
        <v>102</v>
      </c>
      <c r="L371" s="54">
        <f t="shared" si="35"/>
        <v>43788</v>
      </c>
      <c r="M371" s="54"/>
    </row>
    <row r="372" spans="1:13" s="47" customFormat="1" ht="13.8" x14ac:dyDescent="0.3">
      <c r="A372" s="1" t="s">
        <v>45</v>
      </c>
      <c r="B372" s="3">
        <v>43787.730648148143</v>
      </c>
      <c r="C372" s="2" t="s">
        <v>37</v>
      </c>
      <c r="D372" s="2" t="str">
        <f t="shared" si="30"/>
        <v>NV122</v>
      </c>
      <c r="E372" s="2" t="s">
        <v>0</v>
      </c>
      <c r="F372" s="2" t="str">
        <f t="shared" si="31"/>
        <v>NV12243787RaChiều</v>
      </c>
      <c r="G372" s="52" t="str">
        <f t="shared" si="32"/>
        <v>17:32:08</v>
      </c>
      <c r="H372" s="53" t="str">
        <f t="shared" si="33"/>
        <v>Ra</v>
      </c>
      <c r="I372" s="53" t="str">
        <f t="shared" si="34"/>
        <v>Chiều</v>
      </c>
      <c r="J372" s="53" t="s">
        <v>37</v>
      </c>
      <c r="K372" s="53" t="s">
        <v>103</v>
      </c>
      <c r="L372" s="54">
        <f t="shared" si="35"/>
        <v>43787</v>
      </c>
      <c r="M372" s="54"/>
    </row>
    <row r="373" spans="1:13" s="47" customFormat="1" ht="13.8" x14ac:dyDescent="0.3">
      <c r="A373" s="1" t="s">
        <v>45</v>
      </c>
      <c r="B373" s="3">
        <v>43787.331516203703</v>
      </c>
      <c r="C373" s="2" t="s">
        <v>37</v>
      </c>
      <c r="D373" s="2" t="str">
        <f t="shared" si="30"/>
        <v>NV122</v>
      </c>
      <c r="E373" s="2" t="s">
        <v>0</v>
      </c>
      <c r="F373" s="2" t="str">
        <f t="shared" si="31"/>
        <v>NV12243787VàoSáng</v>
      </c>
      <c r="G373" s="52" t="str">
        <f t="shared" si="32"/>
        <v>07:57:23</v>
      </c>
      <c r="H373" s="53" t="str">
        <f t="shared" si="33"/>
        <v>Vào</v>
      </c>
      <c r="I373" s="53" t="str">
        <f t="shared" si="34"/>
        <v>Sáng</v>
      </c>
      <c r="J373" s="53" t="s">
        <v>39</v>
      </c>
      <c r="K373" s="53" t="s">
        <v>102</v>
      </c>
      <c r="L373" s="54">
        <f t="shared" si="35"/>
        <v>43787</v>
      </c>
      <c r="M373" s="54"/>
    </row>
    <row r="374" spans="1:13" s="47" customFormat="1" ht="13.8" x14ac:dyDescent="0.3">
      <c r="A374" s="1" t="s">
        <v>45</v>
      </c>
      <c r="B374" s="3">
        <v>43785.732986111107</v>
      </c>
      <c r="C374" s="2" t="s">
        <v>37</v>
      </c>
      <c r="D374" s="2" t="str">
        <f t="shared" si="30"/>
        <v>NV122</v>
      </c>
      <c r="E374" s="2" t="s">
        <v>0</v>
      </c>
      <c r="F374" s="2" t="str">
        <f t="shared" si="31"/>
        <v>NV12243785RaChiều</v>
      </c>
      <c r="G374" s="52" t="str">
        <f t="shared" si="32"/>
        <v>17:35:30</v>
      </c>
      <c r="H374" s="53" t="str">
        <f t="shared" si="33"/>
        <v>Ra</v>
      </c>
      <c r="I374" s="53" t="str">
        <f t="shared" si="34"/>
        <v>Chiều</v>
      </c>
      <c r="J374" s="53" t="s">
        <v>37</v>
      </c>
      <c r="K374" s="53" t="s">
        <v>103</v>
      </c>
      <c r="L374" s="54">
        <f t="shared" si="35"/>
        <v>43785</v>
      </c>
      <c r="M374" s="54"/>
    </row>
    <row r="375" spans="1:13" s="47" customFormat="1" ht="13.8" x14ac:dyDescent="0.3">
      <c r="A375" s="1" t="s">
        <v>45</v>
      </c>
      <c r="B375" s="3">
        <v>43785.730405092589</v>
      </c>
      <c r="C375" s="2" t="s">
        <v>37</v>
      </c>
      <c r="D375" s="2" t="str">
        <f t="shared" si="30"/>
        <v>NV122</v>
      </c>
      <c r="E375" s="2" t="s">
        <v>0</v>
      </c>
      <c r="F375" s="2" t="str">
        <f t="shared" si="31"/>
        <v>NV12243785RaChiều</v>
      </c>
      <c r="G375" s="52" t="str">
        <f t="shared" si="32"/>
        <v>17:31:47</v>
      </c>
      <c r="H375" s="53" t="str">
        <f t="shared" si="33"/>
        <v>Ra</v>
      </c>
      <c r="I375" s="53" t="str">
        <f t="shared" si="34"/>
        <v>Chiều</v>
      </c>
      <c r="J375" s="53" t="s">
        <v>37</v>
      </c>
      <c r="K375" s="53" t="s">
        <v>103</v>
      </c>
      <c r="L375" s="54">
        <f t="shared" si="35"/>
        <v>43785</v>
      </c>
      <c r="M375" s="54"/>
    </row>
    <row r="376" spans="1:13" s="47" customFormat="1" ht="13.8" x14ac:dyDescent="0.3">
      <c r="A376" s="1" t="s">
        <v>45</v>
      </c>
      <c r="B376" s="3">
        <v>43785.320243055554</v>
      </c>
      <c r="C376" s="2" t="s">
        <v>37</v>
      </c>
      <c r="D376" s="2" t="str">
        <f t="shared" si="30"/>
        <v>NV122</v>
      </c>
      <c r="E376" s="2" t="s">
        <v>0</v>
      </c>
      <c r="F376" s="2" t="str">
        <f t="shared" si="31"/>
        <v>NV12243785VàoSáng</v>
      </c>
      <c r="G376" s="52" t="str">
        <f t="shared" si="32"/>
        <v>07:41:09</v>
      </c>
      <c r="H376" s="53" t="str">
        <f t="shared" si="33"/>
        <v>Vào</v>
      </c>
      <c r="I376" s="53" t="str">
        <f t="shared" si="34"/>
        <v>Sáng</v>
      </c>
      <c r="J376" s="53" t="s">
        <v>39</v>
      </c>
      <c r="K376" s="53" t="s">
        <v>102</v>
      </c>
      <c r="L376" s="54">
        <f t="shared" si="35"/>
        <v>43785</v>
      </c>
      <c r="M376" s="54"/>
    </row>
    <row r="377" spans="1:13" s="47" customFormat="1" ht="13.8" x14ac:dyDescent="0.3">
      <c r="A377" s="1" t="s">
        <v>45</v>
      </c>
      <c r="B377" s="3">
        <v>43784.737858796296</v>
      </c>
      <c r="C377" s="2" t="s">
        <v>37</v>
      </c>
      <c r="D377" s="2" t="str">
        <f t="shared" si="30"/>
        <v>NV122</v>
      </c>
      <c r="E377" s="2" t="s">
        <v>0</v>
      </c>
      <c r="F377" s="2" t="str">
        <f t="shared" si="31"/>
        <v>NV12243784RaChiều</v>
      </c>
      <c r="G377" s="52" t="str">
        <f t="shared" si="32"/>
        <v>17:42:31</v>
      </c>
      <c r="H377" s="53" t="str">
        <f t="shared" si="33"/>
        <v>Ra</v>
      </c>
      <c r="I377" s="53" t="str">
        <f t="shared" si="34"/>
        <v>Chiều</v>
      </c>
      <c r="J377" s="53" t="s">
        <v>37</v>
      </c>
      <c r="K377" s="53" t="s">
        <v>103</v>
      </c>
      <c r="L377" s="54">
        <f t="shared" si="35"/>
        <v>43784</v>
      </c>
      <c r="M377" s="54"/>
    </row>
    <row r="378" spans="1:13" s="47" customFormat="1" ht="13.8" x14ac:dyDescent="0.3">
      <c r="A378" s="1" t="s">
        <v>45</v>
      </c>
      <c r="B378" s="3">
        <v>43784.33688657407</v>
      </c>
      <c r="C378" s="2" t="s">
        <v>37</v>
      </c>
      <c r="D378" s="2" t="str">
        <f t="shared" si="30"/>
        <v>NV122</v>
      </c>
      <c r="E378" s="2" t="s">
        <v>0</v>
      </c>
      <c r="F378" s="2" t="str">
        <f t="shared" si="31"/>
        <v>NV12243784VàoSáng</v>
      </c>
      <c r="G378" s="52" t="str">
        <f t="shared" si="32"/>
        <v>08:05:07</v>
      </c>
      <c r="H378" s="53" t="str">
        <f t="shared" si="33"/>
        <v>Vào</v>
      </c>
      <c r="I378" s="53" t="str">
        <f t="shared" si="34"/>
        <v>Sáng</v>
      </c>
      <c r="J378" s="53" t="s">
        <v>39</v>
      </c>
      <c r="K378" s="53" t="s">
        <v>102</v>
      </c>
      <c r="L378" s="54">
        <f t="shared" si="35"/>
        <v>43784</v>
      </c>
      <c r="M378" s="54"/>
    </row>
    <row r="379" spans="1:13" s="47" customFormat="1" ht="13.8" x14ac:dyDescent="0.3">
      <c r="A379" s="1" t="s">
        <v>45</v>
      </c>
      <c r="B379" s="3">
        <v>43783.731307870366</v>
      </c>
      <c r="C379" s="2" t="s">
        <v>37</v>
      </c>
      <c r="D379" s="2" t="str">
        <f t="shared" si="30"/>
        <v>NV122</v>
      </c>
      <c r="E379" s="2" t="s">
        <v>0</v>
      </c>
      <c r="F379" s="2" t="str">
        <f t="shared" si="31"/>
        <v>NV12243783RaChiều</v>
      </c>
      <c r="G379" s="52" t="str">
        <f t="shared" si="32"/>
        <v>17:33:05</v>
      </c>
      <c r="H379" s="53" t="str">
        <f t="shared" si="33"/>
        <v>Ra</v>
      </c>
      <c r="I379" s="53" t="str">
        <f t="shared" si="34"/>
        <v>Chiều</v>
      </c>
      <c r="J379" s="53" t="s">
        <v>37</v>
      </c>
      <c r="K379" s="53" t="s">
        <v>103</v>
      </c>
      <c r="L379" s="54">
        <f t="shared" si="35"/>
        <v>43783</v>
      </c>
      <c r="M379" s="54"/>
    </row>
    <row r="380" spans="1:13" s="47" customFormat="1" ht="13.8" x14ac:dyDescent="0.3">
      <c r="A380" s="1" t="s">
        <v>45</v>
      </c>
      <c r="B380" s="3">
        <v>43783.340902777774</v>
      </c>
      <c r="C380" s="2" t="s">
        <v>37</v>
      </c>
      <c r="D380" s="2" t="str">
        <f t="shared" si="30"/>
        <v>NV122</v>
      </c>
      <c r="E380" s="2" t="s">
        <v>0</v>
      </c>
      <c r="F380" s="2" t="str">
        <f t="shared" si="31"/>
        <v>NV12243783VàoSáng</v>
      </c>
      <c r="G380" s="52" t="str">
        <f t="shared" si="32"/>
        <v>08:10:54</v>
      </c>
      <c r="H380" s="53" t="str">
        <f t="shared" si="33"/>
        <v>Vào</v>
      </c>
      <c r="I380" s="53" t="str">
        <f t="shared" si="34"/>
        <v>Sáng</v>
      </c>
      <c r="J380" s="53" t="s">
        <v>39</v>
      </c>
      <c r="K380" s="53" t="s">
        <v>102</v>
      </c>
      <c r="L380" s="54">
        <f t="shared" si="35"/>
        <v>43783</v>
      </c>
      <c r="M380" s="54"/>
    </row>
    <row r="381" spans="1:13" s="47" customFormat="1" ht="13.8" x14ac:dyDescent="0.3">
      <c r="A381" s="1" t="s">
        <v>45</v>
      </c>
      <c r="B381" s="3">
        <v>43782.734652777777</v>
      </c>
      <c r="C381" s="2" t="s">
        <v>37</v>
      </c>
      <c r="D381" s="2" t="str">
        <f t="shared" si="30"/>
        <v>NV122</v>
      </c>
      <c r="E381" s="2" t="s">
        <v>0</v>
      </c>
      <c r="F381" s="2" t="str">
        <f t="shared" si="31"/>
        <v>NV12243782RaChiều</v>
      </c>
      <c r="G381" s="52" t="str">
        <f t="shared" si="32"/>
        <v>17:37:54</v>
      </c>
      <c r="H381" s="53" t="str">
        <f t="shared" si="33"/>
        <v>Ra</v>
      </c>
      <c r="I381" s="53" t="str">
        <f t="shared" si="34"/>
        <v>Chiều</v>
      </c>
      <c r="J381" s="53" t="s">
        <v>37</v>
      </c>
      <c r="K381" s="53" t="s">
        <v>103</v>
      </c>
      <c r="L381" s="54">
        <f t="shared" si="35"/>
        <v>43782</v>
      </c>
      <c r="M381" s="54"/>
    </row>
    <row r="382" spans="1:13" s="47" customFormat="1" ht="13.8" x14ac:dyDescent="0.3">
      <c r="A382" s="1" t="s">
        <v>45</v>
      </c>
      <c r="B382" s="3">
        <v>43782.333738425921</v>
      </c>
      <c r="C382" s="2" t="s">
        <v>37</v>
      </c>
      <c r="D382" s="2" t="str">
        <f t="shared" si="30"/>
        <v>NV122</v>
      </c>
      <c r="E382" s="2" t="s">
        <v>0</v>
      </c>
      <c r="F382" s="2" t="str">
        <f t="shared" si="31"/>
        <v>NV12243782VàoSáng</v>
      </c>
      <c r="G382" s="52" t="str">
        <f t="shared" si="32"/>
        <v>08:00:35</v>
      </c>
      <c r="H382" s="53" t="str">
        <f t="shared" si="33"/>
        <v>Vào</v>
      </c>
      <c r="I382" s="53" t="str">
        <f t="shared" si="34"/>
        <v>Sáng</v>
      </c>
      <c r="J382" s="53" t="s">
        <v>39</v>
      </c>
      <c r="K382" s="53" t="s">
        <v>102</v>
      </c>
      <c r="L382" s="54">
        <f t="shared" si="35"/>
        <v>43782</v>
      </c>
      <c r="M382" s="54"/>
    </row>
    <row r="383" spans="1:13" s="47" customFormat="1" ht="13.8" x14ac:dyDescent="0.3">
      <c r="A383" s="1" t="s">
        <v>45</v>
      </c>
      <c r="B383" s="3">
        <v>43781.73196759259</v>
      </c>
      <c r="C383" s="2" t="s">
        <v>37</v>
      </c>
      <c r="D383" s="2" t="str">
        <f t="shared" si="30"/>
        <v>NV122</v>
      </c>
      <c r="E383" s="2" t="s">
        <v>0</v>
      </c>
      <c r="F383" s="2" t="str">
        <f t="shared" si="31"/>
        <v>NV12243781RaChiều</v>
      </c>
      <c r="G383" s="52" t="str">
        <f t="shared" si="32"/>
        <v>17:34:02</v>
      </c>
      <c r="H383" s="53" t="str">
        <f t="shared" si="33"/>
        <v>Ra</v>
      </c>
      <c r="I383" s="53" t="str">
        <f t="shared" si="34"/>
        <v>Chiều</v>
      </c>
      <c r="J383" s="53" t="s">
        <v>37</v>
      </c>
      <c r="K383" s="53" t="s">
        <v>103</v>
      </c>
      <c r="L383" s="54">
        <f t="shared" si="35"/>
        <v>43781</v>
      </c>
      <c r="M383" s="54"/>
    </row>
    <row r="384" spans="1:13" s="47" customFormat="1" ht="13.8" x14ac:dyDescent="0.3">
      <c r="A384" s="1" t="s">
        <v>45</v>
      </c>
      <c r="B384" s="3">
        <v>43781.33421296296</v>
      </c>
      <c r="C384" s="2" t="s">
        <v>37</v>
      </c>
      <c r="D384" s="2" t="str">
        <f t="shared" si="30"/>
        <v>NV122</v>
      </c>
      <c r="E384" s="2" t="s">
        <v>0</v>
      </c>
      <c r="F384" s="2" t="str">
        <f t="shared" si="31"/>
        <v>NV12243781VàoSáng</v>
      </c>
      <c r="G384" s="52" t="str">
        <f t="shared" si="32"/>
        <v>08:01:16</v>
      </c>
      <c r="H384" s="53" t="str">
        <f t="shared" si="33"/>
        <v>Vào</v>
      </c>
      <c r="I384" s="53" t="str">
        <f t="shared" si="34"/>
        <v>Sáng</v>
      </c>
      <c r="J384" s="53" t="s">
        <v>39</v>
      </c>
      <c r="K384" s="53" t="s">
        <v>102</v>
      </c>
      <c r="L384" s="54">
        <f t="shared" si="35"/>
        <v>43781</v>
      </c>
      <c r="M384" s="54"/>
    </row>
    <row r="385" spans="1:13" s="47" customFormat="1" ht="13.8" x14ac:dyDescent="0.3">
      <c r="A385" s="1" t="s">
        <v>45</v>
      </c>
      <c r="B385" s="3">
        <v>43780.732476851852</v>
      </c>
      <c r="C385" s="2" t="s">
        <v>37</v>
      </c>
      <c r="D385" s="2" t="str">
        <f t="shared" si="30"/>
        <v>NV122</v>
      </c>
      <c r="E385" s="2" t="s">
        <v>0</v>
      </c>
      <c r="F385" s="2" t="str">
        <f t="shared" si="31"/>
        <v>NV12243780RaChiều</v>
      </c>
      <c r="G385" s="52" t="str">
        <f t="shared" si="32"/>
        <v>17:34:46</v>
      </c>
      <c r="H385" s="53" t="str">
        <f t="shared" si="33"/>
        <v>Ra</v>
      </c>
      <c r="I385" s="53" t="str">
        <f t="shared" si="34"/>
        <v>Chiều</v>
      </c>
      <c r="J385" s="53" t="s">
        <v>37</v>
      </c>
      <c r="K385" s="53" t="s">
        <v>103</v>
      </c>
      <c r="L385" s="54">
        <f t="shared" si="35"/>
        <v>43780</v>
      </c>
      <c r="M385" s="54"/>
    </row>
    <row r="386" spans="1:13" s="47" customFormat="1" ht="13.8" x14ac:dyDescent="0.3">
      <c r="A386" s="1" t="s">
        <v>45</v>
      </c>
      <c r="B386" s="3">
        <v>43780.332789351851</v>
      </c>
      <c r="C386" s="2" t="s">
        <v>37</v>
      </c>
      <c r="D386" s="2" t="str">
        <f t="shared" si="30"/>
        <v>NV122</v>
      </c>
      <c r="E386" s="2" t="s">
        <v>0</v>
      </c>
      <c r="F386" s="2" t="str">
        <f t="shared" si="31"/>
        <v>NV12243780VàoSáng</v>
      </c>
      <c r="G386" s="52" t="str">
        <f t="shared" si="32"/>
        <v>07:59:13</v>
      </c>
      <c r="H386" s="53" t="str">
        <f t="shared" si="33"/>
        <v>Vào</v>
      </c>
      <c r="I386" s="53" t="str">
        <f t="shared" si="34"/>
        <v>Sáng</v>
      </c>
      <c r="J386" s="53" t="s">
        <v>39</v>
      </c>
      <c r="K386" s="53" t="s">
        <v>102</v>
      </c>
      <c r="L386" s="54">
        <f t="shared" si="35"/>
        <v>43780</v>
      </c>
      <c r="M386" s="54"/>
    </row>
    <row r="387" spans="1:13" s="47" customFormat="1" ht="13.8" x14ac:dyDescent="0.3">
      <c r="A387" s="40" t="s">
        <v>45</v>
      </c>
      <c r="B387" s="42">
        <v>43778.730381944442</v>
      </c>
      <c r="C387" s="41" t="s">
        <v>37</v>
      </c>
      <c r="D387" s="41" t="str">
        <f t="shared" si="30"/>
        <v>NV122</v>
      </c>
      <c r="E387" s="41" t="s">
        <v>0</v>
      </c>
      <c r="F387" s="2" t="str">
        <f t="shared" si="31"/>
        <v>NV12243778RaChiều</v>
      </c>
      <c r="G387" s="52" t="str">
        <f t="shared" si="32"/>
        <v>17:31:45</v>
      </c>
      <c r="H387" s="53" t="str">
        <f t="shared" si="33"/>
        <v>Ra</v>
      </c>
      <c r="I387" s="53" t="str">
        <f t="shared" si="34"/>
        <v>Chiều</v>
      </c>
      <c r="J387" s="53" t="s">
        <v>37</v>
      </c>
      <c r="K387" s="53" t="s">
        <v>103</v>
      </c>
      <c r="L387" s="54">
        <f t="shared" si="35"/>
        <v>43778</v>
      </c>
      <c r="M387" s="54"/>
    </row>
    <row r="388" spans="1:13" s="47" customFormat="1" ht="13.8" x14ac:dyDescent="0.3">
      <c r="A388" s="40" t="s">
        <v>45</v>
      </c>
      <c r="B388" s="42">
        <v>43778.324074074073</v>
      </c>
      <c r="C388" s="41" t="s">
        <v>37</v>
      </c>
      <c r="D388" s="41" t="str">
        <f t="shared" si="30"/>
        <v>NV122</v>
      </c>
      <c r="E388" s="41" t="s">
        <v>0</v>
      </c>
      <c r="F388" s="2" t="str">
        <f t="shared" si="31"/>
        <v>NV12243778VàoSáng</v>
      </c>
      <c r="G388" s="52" t="str">
        <f t="shared" si="32"/>
        <v>07:46:40</v>
      </c>
      <c r="H388" s="53" t="str">
        <f t="shared" si="33"/>
        <v>Vào</v>
      </c>
      <c r="I388" s="53" t="str">
        <f t="shared" si="34"/>
        <v>Sáng</v>
      </c>
      <c r="J388" s="53" t="s">
        <v>39</v>
      </c>
      <c r="K388" s="53" t="s">
        <v>102</v>
      </c>
      <c r="L388" s="54">
        <f t="shared" si="35"/>
        <v>43778</v>
      </c>
      <c r="M388" s="54"/>
    </row>
    <row r="389" spans="1:13" s="47" customFormat="1" ht="13.8" x14ac:dyDescent="0.3">
      <c r="A389" s="1" t="s">
        <v>45</v>
      </c>
      <c r="B389" s="3">
        <v>43776.730694444443</v>
      </c>
      <c r="C389" s="2" t="s">
        <v>37</v>
      </c>
      <c r="D389" s="2" t="str">
        <f t="shared" si="30"/>
        <v>NV122</v>
      </c>
      <c r="E389" s="2" t="s">
        <v>0</v>
      </c>
      <c r="F389" s="2" t="str">
        <f t="shared" si="31"/>
        <v>NV12243776RaChiều</v>
      </c>
      <c r="G389" s="52" t="str">
        <f t="shared" si="32"/>
        <v>17:32:12</v>
      </c>
      <c r="H389" s="53" t="str">
        <f t="shared" si="33"/>
        <v>Ra</v>
      </c>
      <c r="I389" s="53" t="str">
        <f t="shared" si="34"/>
        <v>Chiều</v>
      </c>
      <c r="J389" s="53" t="s">
        <v>37</v>
      </c>
      <c r="K389" s="53" t="s">
        <v>103</v>
      </c>
      <c r="L389" s="54">
        <f t="shared" si="35"/>
        <v>43776</v>
      </c>
      <c r="M389" s="54"/>
    </row>
    <row r="390" spans="1:13" s="47" customFormat="1" ht="13.8" x14ac:dyDescent="0.3">
      <c r="A390" s="1" t="s">
        <v>45</v>
      </c>
      <c r="B390" s="3">
        <v>43776.335763888885</v>
      </c>
      <c r="C390" s="2" t="s">
        <v>37</v>
      </c>
      <c r="D390" s="2" t="str">
        <f t="shared" ref="D390:D453" si="36">"NV"&amp;A390</f>
        <v>NV122</v>
      </c>
      <c r="E390" s="2" t="s">
        <v>0</v>
      </c>
      <c r="F390" s="2" t="str">
        <f t="shared" ref="F390:F453" si="37">D390&amp;L390&amp;J390&amp;K390</f>
        <v>NV12243776VàoSáng</v>
      </c>
      <c r="G390" s="52" t="str">
        <f t="shared" si="32"/>
        <v>08:03:30</v>
      </c>
      <c r="H390" s="53" t="str">
        <f t="shared" si="33"/>
        <v>Vào</v>
      </c>
      <c r="I390" s="53" t="str">
        <f t="shared" si="34"/>
        <v>Sáng</v>
      </c>
      <c r="J390" s="53" t="s">
        <v>39</v>
      </c>
      <c r="K390" s="53" t="s">
        <v>102</v>
      </c>
      <c r="L390" s="54">
        <f t="shared" si="35"/>
        <v>43776</v>
      </c>
      <c r="M390" s="54"/>
    </row>
    <row r="391" spans="1:13" s="47" customFormat="1" ht="13.8" x14ac:dyDescent="0.3">
      <c r="A391" s="1" t="s">
        <v>45</v>
      </c>
      <c r="B391" s="3">
        <v>43775.729328703703</v>
      </c>
      <c r="C391" s="2" t="s">
        <v>37</v>
      </c>
      <c r="D391" s="2" t="str">
        <f t="shared" si="36"/>
        <v>NV122</v>
      </c>
      <c r="E391" s="2" t="s">
        <v>0</v>
      </c>
      <c r="F391" s="2" t="str">
        <f t="shared" si="37"/>
        <v>NV12243775RaChiều</v>
      </c>
      <c r="G391" s="52" t="str">
        <f t="shared" ref="G391:G454" si="38">TEXT(TIME(HOUR(B391),MINUTE(B391),SECOND(B391)),"hh:mm:ss")</f>
        <v>17:30:14</v>
      </c>
      <c r="H391" s="53" t="str">
        <f t="shared" ref="H391:H454" si="39">IF(AND(I391="Sáng",G391&lt;"11:00:00",G391&gt;="07:00:00"),"Vào",
IF(AND(I391="Sáng",G391&lt;"13:00:00",G391&gt;="11:00:00"),"Ra",
IF(AND(I391="Chiều",G391&lt;"16:00:00",G391&gt;="13:00:00"),"Vào",
IF(AND(I391="Chiều",G391&lt;"20:00:00",G391&gt;="16:00:00"),"Ra"))))</f>
        <v>Ra</v>
      </c>
      <c r="I391" s="53" t="str">
        <f t="shared" ref="I391:I454" si="40">IF(G391&lt;="12:30:00","Sáng","Chiều")</f>
        <v>Chiều</v>
      </c>
      <c r="J391" s="53" t="s">
        <v>37</v>
      </c>
      <c r="K391" s="53" t="s">
        <v>103</v>
      </c>
      <c r="L391" s="54">
        <f t="shared" ref="L391:L454" si="41">DATE(YEAR(B391),MONTH(B391),DAY(B391))</f>
        <v>43775</v>
      </c>
      <c r="M391" s="54"/>
    </row>
    <row r="392" spans="1:13" s="47" customFormat="1" ht="13.8" x14ac:dyDescent="0.3">
      <c r="A392" s="1" t="s">
        <v>45</v>
      </c>
      <c r="B392" s="3">
        <v>43775.333472222221</v>
      </c>
      <c r="C392" s="2" t="s">
        <v>37</v>
      </c>
      <c r="D392" s="2" t="str">
        <f t="shared" si="36"/>
        <v>NV122</v>
      </c>
      <c r="E392" s="2" t="s">
        <v>0</v>
      </c>
      <c r="F392" s="2" t="str">
        <f t="shared" si="37"/>
        <v>NV12243775VàoSáng</v>
      </c>
      <c r="G392" s="52" t="str">
        <f t="shared" si="38"/>
        <v>08:00:12</v>
      </c>
      <c r="H392" s="53" t="str">
        <f t="shared" si="39"/>
        <v>Vào</v>
      </c>
      <c r="I392" s="53" t="str">
        <f t="shared" si="40"/>
        <v>Sáng</v>
      </c>
      <c r="J392" s="53" t="s">
        <v>39</v>
      </c>
      <c r="K392" s="53" t="s">
        <v>102</v>
      </c>
      <c r="L392" s="54">
        <f t="shared" si="41"/>
        <v>43775</v>
      </c>
      <c r="M392" s="54"/>
    </row>
    <row r="393" spans="1:13" s="47" customFormat="1" ht="13.8" x14ac:dyDescent="0.3">
      <c r="A393" s="1" t="s">
        <v>45</v>
      </c>
      <c r="B393" s="3">
        <v>43774.731249999997</v>
      </c>
      <c r="C393" s="2" t="s">
        <v>37</v>
      </c>
      <c r="D393" s="2" t="str">
        <f t="shared" si="36"/>
        <v>NV122</v>
      </c>
      <c r="E393" s="2" t="s">
        <v>0</v>
      </c>
      <c r="F393" s="2" t="str">
        <f t="shared" si="37"/>
        <v>NV12243774RaChiều</v>
      </c>
      <c r="G393" s="52" t="str">
        <f t="shared" si="38"/>
        <v>17:33:00</v>
      </c>
      <c r="H393" s="53" t="str">
        <f t="shared" si="39"/>
        <v>Ra</v>
      </c>
      <c r="I393" s="53" t="str">
        <f t="shared" si="40"/>
        <v>Chiều</v>
      </c>
      <c r="J393" s="53" t="s">
        <v>37</v>
      </c>
      <c r="K393" s="53" t="s">
        <v>103</v>
      </c>
      <c r="L393" s="54">
        <f t="shared" si="41"/>
        <v>43774</v>
      </c>
      <c r="M393" s="54"/>
    </row>
    <row r="394" spans="1:13" s="47" customFormat="1" ht="13.8" x14ac:dyDescent="0.3">
      <c r="A394" s="1" t="s">
        <v>45</v>
      </c>
      <c r="B394" s="3">
        <v>43774.33898148148</v>
      </c>
      <c r="C394" s="2" t="s">
        <v>37</v>
      </c>
      <c r="D394" s="2" t="str">
        <f t="shared" si="36"/>
        <v>NV122</v>
      </c>
      <c r="E394" s="2" t="s">
        <v>0</v>
      </c>
      <c r="F394" s="2" t="str">
        <f t="shared" si="37"/>
        <v>NV12243774VàoSáng</v>
      </c>
      <c r="G394" s="52" t="str">
        <f t="shared" si="38"/>
        <v>08:08:08</v>
      </c>
      <c r="H394" s="53" t="str">
        <f t="shared" si="39"/>
        <v>Vào</v>
      </c>
      <c r="I394" s="53" t="str">
        <f t="shared" si="40"/>
        <v>Sáng</v>
      </c>
      <c r="J394" s="53" t="s">
        <v>39</v>
      </c>
      <c r="K394" s="53" t="s">
        <v>102</v>
      </c>
      <c r="L394" s="54">
        <f t="shared" si="41"/>
        <v>43774</v>
      </c>
      <c r="M394" s="54"/>
    </row>
    <row r="395" spans="1:13" s="47" customFormat="1" ht="13.8" x14ac:dyDescent="0.3">
      <c r="A395" s="1" t="s">
        <v>45</v>
      </c>
      <c r="B395" s="3">
        <v>43773.731377314813</v>
      </c>
      <c r="C395" s="2" t="s">
        <v>37</v>
      </c>
      <c r="D395" s="2" t="str">
        <f t="shared" si="36"/>
        <v>NV122</v>
      </c>
      <c r="E395" s="2" t="s">
        <v>0</v>
      </c>
      <c r="F395" s="2" t="str">
        <f t="shared" si="37"/>
        <v>NV12243773RaChiều</v>
      </c>
      <c r="G395" s="52" t="str">
        <f t="shared" si="38"/>
        <v>17:33:11</v>
      </c>
      <c r="H395" s="53" t="str">
        <f t="shared" si="39"/>
        <v>Ra</v>
      </c>
      <c r="I395" s="53" t="str">
        <f t="shared" si="40"/>
        <v>Chiều</v>
      </c>
      <c r="J395" s="53" t="s">
        <v>37</v>
      </c>
      <c r="K395" s="53" t="s">
        <v>103</v>
      </c>
      <c r="L395" s="54">
        <f t="shared" si="41"/>
        <v>43773</v>
      </c>
      <c r="M395" s="54"/>
    </row>
    <row r="396" spans="1:13" s="47" customFormat="1" ht="13.8" x14ac:dyDescent="0.3">
      <c r="A396" s="1" t="s">
        <v>45</v>
      </c>
      <c r="B396" s="3">
        <v>43773.33388888889</v>
      </c>
      <c r="C396" s="2" t="s">
        <v>37</v>
      </c>
      <c r="D396" s="2" t="str">
        <f t="shared" si="36"/>
        <v>NV122</v>
      </c>
      <c r="E396" s="2" t="s">
        <v>0</v>
      </c>
      <c r="F396" s="2" t="str">
        <f t="shared" si="37"/>
        <v>NV12243773VàoSáng</v>
      </c>
      <c r="G396" s="52" t="str">
        <f t="shared" si="38"/>
        <v>08:00:48</v>
      </c>
      <c r="H396" s="53" t="str">
        <f t="shared" si="39"/>
        <v>Vào</v>
      </c>
      <c r="I396" s="53" t="str">
        <f t="shared" si="40"/>
        <v>Sáng</v>
      </c>
      <c r="J396" s="53" t="s">
        <v>39</v>
      </c>
      <c r="K396" s="53" t="s">
        <v>102</v>
      </c>
      <c r="L396" s="54">
        <f t="shared" si="41"/>
        <v>43773</v>
      </c>
      <c r="M396" s="54"/>
    </row>
    <row r="397" spans="1:13" s="47" customFormat="1" ht="13.8" x14ac:dyDescent="0.3">
      <c r="A397" s="1" t="s">
        <v>45</v>
      </c>
      <c r="B397" s="3">
        <v>43771.730486111112</v>
      </c>
      <c r="C397" s="2" t="s">
        <v>37</v>
      </c>
      <c r="D397" s="2" t="str">
        <f t="shared" si="36"/>
        <v>NV122</v>
      </c>
      <c r="E397" s="2" t="s">
        <v>0</v>
      </c>
      <c r="F397" s="2" t="str">
        <f t="shared" si="37"/>
        <v>NV12243771RaChiều</v>
      </c>
      <c r="G397" s="52" t="str">
        <f t="shared" si="38"/>
        <v>17:31:54</v>
      </c>
      <c r="H397" s="53" t="str">
        <f t="shared" si="39"/>
        <v>Ra</v>
      </c>
      <c r="I397" s="53" t="str">
        <f t="shared" si="40"/>
        <v>Chiều</v>
      </c>
      <c r="J397" s="53" t="s">
        <v>37</v>
      </c>
      <c r="K397" s="53" t="s">
        <v>103</v>
      </c>
      <c r="L397" s="54">
        <f t="shared" si="41"/>
        <v>43771</v>
      </c>
      <c r="M397" s="54"/>
    </row>
    <row r="398" spans="1:13" s="47" customFormat="1" ht="13.8" x14ac:dyDescent="0.3">
      <c r="A398" s="1" t="s">
        <v>45</v>
      </c>
      <c r="B398" s="3">
        <v>43771.536678240736</v>
      </c>
      <c r="C398" s="2" t="s">
        <v>37</v>
      </c>
      <c r="D398" s="2" t="str">
        <f t="shared" si="36"/>
        <v>NV122</v>
      </c>
      <c r="E398" s="2" t="s">
        <v>0</v>
      </c>
      <c r="F398" s="2" t="str">
        <f t="shared" si="37"/>
        <v>NV12243771FALSEChiều</v>
      </c>
      <c r="G398" s="52" t="str">
        <f t="shared" si="38"/>
        <v>12:52:49</v>
      </c>
      <c r="H398" s="53" t="b">
        <f t="shared" si="39"/>
        <v>0</v>
      </c>
      <c r="I398" s="53" t="str">
        <f t="shared" si="40"/>
        <v>Chiều</v>
      </c>
      <c r="J398" s="53" t="b">
        <v>0</v>
      </c>
      <c r="K398" s="53" t="s">
        <v>103</v>
      </c>
      <c r="L398" s="54">
        <f t="shared" si="41"/>
        <v>43771</v>
      </c>
      <c r="M398" s="54"/>
    </row>
    <row r="399" spans="1:13" s="47" customFormat="1" ht="13.8" x14ac:dyDescent="0.3">
      <c r="A399" s="1" t="s">
        <v>45</v>
      </c>
      <c r="B399" s="3">
        <v>43770.731712962959</v>
      </c>
      <c r="C399" s="2" t="s">
        <v>37</v>
      </c>
      <c r="D399" s="2" t="str">
        <f t="shared" si="36"/>
        <v>NV122</v>
      </c>
      <c r="E399" s="2" t="s">
        <v>0</v>
      </c>
      <c r="F399" s="2" t="str">
        <f t="shared" si="37"/>
        <v>NV12243770RaChiều</v>
      </c>
      <c r="G399" s="52" t="str">
        <f t="shared" si="38"/>
        <v>17:33:40</v>
      </c>
      <c r="H399" s="53" t="str">
        <f t="shared" si="39"/>
        <v>Ra</v>
      </c>
      <c r="I399" s="53" t="str">
        <f t="shared" si="40"/>
        <v>Chiều</v>
      </c>
      <c r="J399" s="53" t="s">
        <v>37</v>
      </c>
      <c r="K399" s="53" t="s">
        <v>103</v>
      </c>
      <c r="L399" s="54">
        <f t="shared" si="41"/>
        <v>43770</v>
      </c>
      <c r="M399" s="54"/>
    </row>
    <row r="400" spans="1:13" s="47" customFormat="1" ht="13.8" x14ac:dyDescent="0.3">
      <c r="A400" s="1" t="s">
        <v>45</v>
      </c>
      <c r="B400" s="3">
        <v>43770.334155092591</v>
      </c>
      <c r="C400" s="2" t="s">
        <v>37</v>
      </c>
      <c r="D400" s="2" t="str">
        <f t="shared" si="36"/>
        <v>NV122</v>
      </c>
      <c r="E400" s="2" t="s">
        <v>0</v>
      </c>
      <c r="F400" s="2" t="str">
        <f t="shared" si="37"/>
        <v>NV12243770VàoSáng</v>
      </c>
      <c r="G400" s="52" t="str">
        <f t="shared" si="38"/>
        <v>08:01:11</v>
      </c>
      <c r="H400" s="53" t="str">
        <f t="shared" si="39"/>
        <v>Vào</v>
      </c>
      <c r="I400" s="53" t="str">
        <f t="shared" si="40"/>
        <v>Sáng</v>
      </c>
      <c r="J400" s="53" t="s">
        <v>39</v>
      </c>
      <c r="K400" s="53" t="s">
        <v>102</v>
      </c>
      <c r="L400" s="54">
        <f t="shared" si="41"/>
        <v>43770</v>
      </c>
      <c r="M400" s="54"/>
    </row>
    <row r="401" spans="1:13" s="47" customFormat="1" ht="13.8" x14ac:dyDescent="0.3">
      <c r="A401" s="1" t="s">
        <v>46</v>
      </c>
      <c r="B401" s="3">
        <v>43799.730983796297</v>
      </c>
      <c r="C401" s="2" t="s">
        <v>37</v>
      </c>
      <c r="D401" s="2" t="str">
        <f t="shared" si="36"/>
        <v>NV123</v>
      </c>
      <c r="E401" s="2" t="s">
        <v>0</v>
      </c>
      <c r="F401" s="2" t="str">
        <f t="shared" si="37"/>
        <v>NV12343799RaChiều</v>
      </c>
      <c r="G401" s="52" t="str">
        <f t="shared" si="38"/>
        <v>17:32:37</v>
      </c>
      <c r="H401" s="53" t="str">
        <f t="shared" si="39"/>
        <v>Ra</v>
      </c>
      <c r="I401" s="53" t="str">
        <f t="shared" si="40"/>
        <v>Chiều</v>
      </c>
      <c r="J401" s="53" t="s">
        <v>37</v>
      </c>
      <c r="K401" s="53" t="s">
        <v>103</v>
      </c>
      <c r="L401" s="54">
        <f t="shared" si="41"/>
        <v>43799</v>
      </c>
      <c r="M401" s="54"/>
    </row>
    <row r="402" spans="1:13" s="47" customFormat="1" ht="13.8" x14ac:dyDescent="0.3">
      <c r="A402" s="1" t="s">
        <v>46</v>
      </c>
      <c r="B402" s="3">
        <v>43799.327685185184</v>
      </c>
      <c r="C402" s="2" t="s">
        <v>37</v>
      </c>
      <c r="D402" s="2" t="str">
        <f t="shared" si="36"/>
        <v>NV123</v>
      </c>
      <c r="E402" s="2" t="s">
        <v>0</v>
      </c>
      <c r="F402" s="2" t="str">
        <f t="shared" si="37"/>
        <v>NV12343799VàoSáng</v>
      </c>
      <c r="G402" s="52" t="str">
        <f t="shared" si="38"/>
        <v>07:51:52</v>
      </c>
      <c r="H402" s="53" t="str">
        <f t="shared" si="39"/>
        <v>Vào</v>
      </c>
      <c r="I402" s="53" t="str">
        <f t="shared" si="40"/>
        <v>Sáng</v>
      </c>
      <c r="J402" s="53" t="s">
        <v>39</v>
      </c>
      <c r="K402" s="53" t="s">
        <v>102</v>
      </c>
      <c r="L402" s="54">
        <f t="shared" si="41"/>
        <v>43799</v>
      </c>
      <c r="M402" s="54"/>
    </row>
    <row r="403" spans="1:13" s="47" customFormat="1" ht="13.8" x14ac:dyDescent="0.3">
      <c r="A403" s="1" t="s">
        <v>46</v>
      </c>
      <c r="B403" s="3">
        <v>43798.729942129627</v>
      </c>
      <c r="C403" s="2" t="s">
        <v>37</v>
      </c>
      <c r="D403" s="2" t="str">
        <f t="shared" si="36"/>
        <v>NV123</v>
      </c>
      <c r="E403" s="2" t="s">
        <v>0</v>
      </c>
      <c r="F403" s="2" t="str">
        <f t="shared" si="37"/>
        <v>NV12343798RaChiều</v>
      </c>
      <c r="G403" s="52" t="str">
        <f t="shared" si="38"/>
        <v>17:31:07</v>
      </c>
      <c r="H403" s="53" t="str">
        <f t="shared" si="39"/>
        <v>Ra</v>
      </c>
      <c r="I403" s="53" t="str">
        <f t="shared" si="40"/>
        <v>Chiều</v>
      </c>
      <c r="J403" s="53" t="s">
        <v>37</v>
      </c>
      <c r="K403" s="53" t="s">
        <v>103</v>
      </c>
      <c r="L403" s="54">
        <f t="shared" si="41"/>
        <v>43798</v>
      </c>
      <c r="M403" s="54"/>
    </row>
    <row r="404" spans="1:13" s="47" customFormat="1" ht="13.8" x14ac:dyDescent="0.3">
      <c r="A404" s="1" t="s">
        <v>46</v>
      </c>
      <c r="B404" s="3">
        <v>43798.327731481477</v>
      </c>
      <c r="C404" s="2" t="s">
        <v>37</v>
      </c>
      <c r="D404" s="2" t="str">
        <f t="shared" si="36"/>
        <v>NV123</v>
      </c>
      <c r="E404" s="2" t="s">
        <v>0</v>
      </c>
      <c r="F404" s="2" t="str">
        <f t="shared" si="37"/>
        <v>NV12343798VàoSáng</v>
      </c>
      <c r="G404" s="52" t="str">
        <f t="shared" si="38"/>
        <v>07:51:56</v>
      </c>
      <c r="H404" s="53" t="str">
        <f t="shared" si="39"/>
        <v>Vào</v>
      </c>
      <c r="I404" s="53" t="str">
        <f t="shared" si="40"/>
        <v>Sáng</v>
      </c>
      <c r="J404" s="53" t="s">
        <v>39</v>
      </c>
      <c r="K404" s="53" t="s">
        <v>102</v>
      </c>
      <c r="L404" s="54">
        <f t="shared" si="41"/>
        <v>43798</v>
      </c>
      <c r="M404" s="54"/>
    </row>
    <row r="405" spans="1:13" s="47" customFormat="1" ht="13.8" x14ac:dyDescent="0.3">
      <c r="A405" s="1" t="s">
        <v>46</v>
      </c>
      <c r="B405" s="3">
        <v>43797.729583333334</v>
      </c>
      <c r="C405" s="2" t="s">
        <v>37</v>
      </c>
      <c r="D405" s="2" t="str">
        <f t="shared" si="36"/>
        <v>NV123</v>
      </c>
      <c r="E405" s="2" t="s">
        <v>0</v>
      </c>
      <c r="F405" s="2" t="str">
        <f t="shared" si="37"/>
        <v>NV12343797RaChiều</v>
      </c>
      <c r="G405" s="52" t="str">
        <f t="shared" si="38"/>
        <v>17:30:36</v>
      </c>
      <c r="H405" s="53" t="str">
        <f t="shared" si="39"/>
        <v>Ra</v>
      </c>
      <c r="I405" s="53" t="str">
        <f t="shared" si="40"/>
        <v>Chiều</v>
      </c>
      <c r="J405" s="53" t="s">
        <v>37</v>
      </c>
      <c r="K405" s="53" t="s">
        <v>103</v>
      </c>
      <c r="L405" s="54">
        <f t="shared" si="41"/>
        <v>43797</v>
      </c>
      <c r="M405" s="54"/>
    </row>
    <row r="406" spans="1:13" s="47" customFormat="1" ht="13.8" x14ac:dyDescent="0.3">
      <c r="A406" s="1" t="s">
        <v>46</v>
      </c>
      <c r="B406" s="3">
        <v>43797.326527777775</v>
      </c>
      <c r="C406" s="2" t="s">
        <v>37</v>
      </c>
      <c r="D406" s="2" t="str">
        <f t="shared" si="36"/>
        <v>NV123</v>
      </c>
      <c r="E406" s="2" t="s">
        <v>0</v>
      </c>
      <c r="F406" s="2" t="str">
        <f t="shared" si="37"/>
        <v>NV12343797VàoSáng</v>
      </c>
      <c r="G406" s="52" t="str">
        <f t="shared" si="38"/>
        <v>07:50:12</v>
      </c>
      <c r="H406" s="53" t="str">
        <f t="shared" si="39"/>
        <v>Vào</v>
      </c>
      <c r="I406" s="53" t="str">
        <f t="shared" si="40"/>
        <v>Sáng</v>
      </c>
      <c r="J406" s="53" t="s">
        <v>39</v>
      </c>
      <c r="K406" s="53" t="s">
        <v>102</v>
      </c>
      <c r="L406" s="54">
        <f t="shared" si="41"/>
        <v>43797</v>
      </c>
      <c r="M406" s="54"/>
    </row>
    <row r="407" spans="1:13" s="47" customFormat="1" ht="13.8" x14ac:dyDescent="0.3">
      <c r="A407" s="1" t="s">
        <v>46</v>
      </c>
      <c r="B407" s="3">
        <v>43796.745844907404</v>
      </c>
      <c r="C407" s="2" t="s">
        <v>37</v>
      </c>
      <c r="D407" s="2" t="str">
        <f t="shared" si="36"/>
        <v>NV123</v>
      </c>
      <c r="E407" s="2" t="s">
        <v>0</v>
      </c>
      <c r="F407" s="2" t="str">
        <f t="shared" si="37"/>
        <v>NV12343796RaChiều</v>
      </c>
      <c r="G407" s="52" t="str">
        <f t="shared" si="38"/>
        <v>17:54:01</v>
      </c>
      <c r="H407" s="53" t="str">
        <f t="shared" si="39"/>
        <v>Ra</v>
      </c>
      <c r="I407" s="53" t="str">
        <f t="shared" si="40"/>
        <v>Chiều</v>
      </c>
      <c r="J407" s="53" t="s">
        <v>37</v>
      </c>
      <c r="K407" s="53" t="s">
        <v>103</v>
      </c>
      <c r="L407" s="54">
        <f t="shared" si="41"/>
        <v>43796</v>
      </c>
      <c r="M407" s="54"/>
    </row>
    <row r="408" spans="1:13" s="47" customFormat="1" ht="13.8" x14ac:dyDescent="0.3">
      <c r="A408" s="1" t="s">
        <v>46</v>
      </c>
      <c r="B408" s="3">
        <v>43796.330231481479</v>
      </c>
      <c r="C408" s="2" t="s">
        <v>37</v>
      </c>
      <c r="D408" s="2" t="str">
        <f t="shared" si="36"/>
        <v>NV123</v>
      </c>
      <c r="E408" s="2" t="s">
        <v>0</v>
      </c>
      <c r="F408" s="2" t="str">
        <f t="shared" si="37"/>
        <v>NV12343796VàoSáng</v>
      </c>
      <c r="G408" s="52" t="str">
        <f t="shared" si="38"/>
        <v>07:55:32</v>
      </c>
      <c r="H408" s="53" t="str">
        <f t="shared" si="39"/>
        <v>Vào</v>
      </c>
      <c r="I408" s="53" t="str">
        <f t="shared" si="40"/>
        <v>Sáng</v>
      </c>
      <c r="J408" s="53" t="s">
        <v>39</v>
      </c>
      <c r="K408" s="53" t="s">
        <v>102</v>
      </c>
      <c r="L408" s="54">
        <f t="shared" si="41"/>
        <v>43796</v>
      </c>
      <c r="M408" s="54"/>
    </row>
    <row r="409" spans="1:13" s="47" customFormat="1" ht="13.8" x14ac:dyDescent="0.3">
      <c r="A409" s="1" t="s">
        <v>46</v>
      </c>
      <c r="B409" s="3">
        <v>43795.735509259255</v>
      </c>
      <c r="C409" s="2" t="s">
        <v>37</v>
      </c>
      <c r="D409" s="2" t="str">
        <f t="shared" si="36"/>
        <v>NV123</v>
      </c>
      <c r="E409" s="2" t="s">
        <v>0</v>
      </c>
      <c r="F409" s="2" t="str">
        <f t="shared" si="37"/>
        <v>NV12343795RaChiều</v>
      </c>
      <c r="G409" s="52" t="str">
        <f t="shared" si="38"/>
        <v>17:39:08</v>
      </c>
      <c r="H409" s="53" t="str">
        <f t="shared" si="39"/>
        <v>Ra</v>
      </c>
      <c r="I409" s="53" t="str">
        <f t="shared" si="40"/>
        <v>Chiều</v>
      </c>
      <c r="J409" s="53" t="s">
        <v>37</v>
      </c>
      <c r="K409" s="53" t="s">
        <v>103</v>
      </c>
      <c r="L409" s="54">
        <f t="shared" si="41"/>
        <v>43795</v>
      </c>
      <c r="M409" s="54"/>
    </row>
    <row r="410" spans="1:13" s="47" customFormat="1" ht="13.8" x14ac:dyDescent="0.3">
      <c r="A410" s="1" t="s">
        <v>46</v>
      </c>
      <c r="B410" s="3">
        <v>43795.330520833333</v>
      </c>
      <c r="C410" s="2" t="s">
        <v>37</v>
      </c>
      <c r="D410" s="2" t="str">
        <f t="shared" si="36"/>
        <v>NV123</v>
      </c>
      <c r="E410" s="2" t="s">
        <v>0</v>
      </c>
      <c r="F410" s="2" t="str">
        <f t="shared" si="37"/>
        <v>NV12343795VàoSáng</v>
      </c>
      <c r="G410" s="52" t="str">
        <f t="shared" si="38"/>
        <v>07:55:57</v>
      </c>
      <c r="H410" s="53" t="str">
        <f t="shared" si="39"/>
        <v>Vào</v>
      </c>
      <c r="I410" s="53" t="str">
        <f t="shared" si="40"/>
        <v>Sáng</v>
      </c>
      <c r="J410" s="53" t="s">
        <v>39</v>
      </c>
      <c r="K410" s="53" t="s">
        <v>102</v>
      </c>
      <c r="L410" s="54">
        <f t="shared" si="41"/>
        <v>43795</v>
      </c>
      <c r="M410" s="54"/>
    </row>
    <row r="411" spans="1:13" s="47" customFormat="1" ht="13.8" x14ac:dyDescent="0.3">
      <c r="A411" s="1" t="s">
        <v>46</v>
      </c>
      <c r="B411" s="3">
        <v>43795.324884259258</v>
      </c>
      <c r="C411" s="2" t="s">
        <v>37</v>
      </c>
      <c r="D411" s="2" t="str">
        <f t="shared" si="36"/>
        <v>NV123</v>
      </c>
      <c r="E411" s="2" t="s">
        <v>0</v>
      </c>
      <c r="F411" s="2" t="str">
        <f t="shared" si="37"/>
        <v>NV12343795VàoSáng</v>
      </c>
      <c r="G411" s="52" t="str">
        <f t="shared" si="38"/>
        <v>07:47:50</v>
      </c>
      <c r="H411" s="53" t="str">
        <f t="shared" si="39"/>
        <v>Vào</v>
      </c>
      <c r="I411" s="53" t="str">
        <f t="shared" si="40"/>
        <v>Sáng</v>
      </c>
      <c r="J411" s="53" t="s">
        <v>39</v>
      </c>
      <c r="K411" s="53" t="s">
        <v>102</v>
      </c>
      <c r="L411" s="54">
        <f t="shared" si="41"/>
        <v>43795</v>
      </c>
      <c r="M411" s="54"/>
    </row>
    <row r="412" spans="1:13" s="47" customFormat="1" ht="13.8" x14ac:dyDescent="0.3">
      <c r="A412" s="1" t="s">
        <v>46</v>
      </c>
      <c r="B412" s="3">
        <v>43794.733611111107</v>
      </c>
      <c r="C412" s="2" t="s">
        <v>37</v>
      </c>
      <c r="D412" s="2" t="str">
        <f t="shared" si="36"/>
        <v>NV123</v>
      </c>
      <c r="E412" s="2" t="s">
        <v>0</v>
      </c>
      <c r="F412" s="2" t="str">
        <f t="shared" si="37"/>
        <v>NV12343794RaChiều</v>
      </c>
      <c r="G412" s="52" t="str">
        <f t="shared" si="38"/>
        <v>17:36:24</v>
      </c>
      <c r="H412" s="53" t="str">
        <f t="shared" si="39"/>
        <v>Ra</v>
      </c>
      <c r="I412" s="53" t="str">
        <f t="shared" si="40"/>
        <v>Chiều</v>
      </c>
      <c r="J412" s="53" t="s">
        <v>37</v>
      </c>
      <c r="K412" s="53" t="s">
        <v>103</v>
      </c>
      <c r="L412" s="54">
        <f t="shared" si="41"/>
        <v>43794</v>
      </c>
      <c r="M412" s="54"/>
    </row>
    <row r="413" spans="1:13" s="47" customFormat="1" ht="13.8" x14ac:dyDescent="0.3">
      <c r="A413" s="1" t="s">
        <v>46</v>
      </c>
      <c r="B413" s="3">
        <v>43794.325219907405</v>
      </c>
      <c r="C413" s="2" t="s">
        <v>37</v>
      </c>
      <c r="D413" s="2" t="str">
        <f t="shared" si="36"/>
        <v>NV123</v>
      </c>
      <c r="E413" s="2" t="s">
        <v>0</v>
      </c>
      <c r="F413" s="2" t="str">
        <f t="shared" si="37"/>
        <v>NV12343794VàoSáng</v>
      </c>
      <c r="G413" s="52" t="str">
        <f t="shared" si="38"/>
        <v>07:48:19</v>
      </c>
      <c r="H413" s="53" t="str">
        <f t="shared" si="39"/>
        <v>Vào</v>
      </c>
      <c r="I413" s="53" t="str">
        <f t="shared" si="40"/>
        <v>Sáng</v>
      </c>
      <c r="J413" s="53" t="s">
        <v>39</v>
      </c>
      <c r="K413" s="53" t="s">
        <v>102</v>
      </c>
      <c r="L413" s="54">
        <f t="shared" si="41"/>
        <v>43794</v>
      </c>
      <c r="M413" s="54"/>
    </row>
    <row r="414" spans="1:13" s="47" customFormat="1" ht="13.8" x14ac:dyDescent="0.3">
      <c r="A414" s="1" t="s">
        <v>46</v>
      </c>
      <c r="B414" s="3">
        <v>43792.46293981481</v>
      </c>
      <c r="C414" s="2" t="s">
        <v>37</v>
      </c>
      <c r="D414" s="2" t="str">
        <f t="shared" si="36"/>
        <v>NV123</v>
      </c>
      <c r="E414" s="2" t="s">
        <v>0</v>
      </c>
      <c r="F414" s="2" t="str">
        <f t="shared" si="37"/>
        <v>NV12343792RaSáng</v>
      </c>
      <c r="G414" s="52" t="str">
        <f t="shared" si="38"/>
        <v>11:06:38</v>
      </c>
      <c r="H414" s="53" t="str">
        <f t="shared" si="39"/>
        <v>Ra</v>
      </c>
      <c r="I414" s="53" t="str">
        <f t="shared" si="40"/>
        <v>Sáng</v>
      </c>
      <c r="J414" s="53" t="s">
        <v>37</v>
      </c>
      <c r="K414" s="53" t="s">
        <v>102</v>
      </c>
      <c r="L414" s="54">
        <f t="shared" si="41"/>
        <v>43792</v>
      </c>
      <c r="M414" s="54"/>
    </row>
    <row r="415" spans="1:13" s="47" customFormat="1" ht="13.8" x14ac:dyDescent="0.3">
      <c r="A415" s="1" t="s">
        <v>46</v>
      </c>
      <c r="B415" s="3">
        <v>43792.332870370366</v>
      </c>
      <c r="C415" s="2" t="s">
        <v>37</v>
      </c>
      <c r="D415" s="2" t="str">
        <f t="shared" si="36"/>
        <v>NV123</v>
      </c>
      <c r="E415" s="2" t="s">
        <v>0</v>
      </c>
      <c r="F415" s="2" t="str">
        <f t="shared" si="37"/>
        <v>NV12343792VàoSáng</v>
      </c>
      <c r="G415" s="52" t="str">
        <f t="shared" si="38"/>
        <v>07:59:20</v>
      </c>
      <c r="H415" s="53" t="str">
        <f t="shared" si="39"/>
        <v>Vào</v>
      </c>
      <c r="I415" s="53" t="str">
        <f t="shared" si="40"/>
        <v>Sáng</v>
      </c>
      <c r="J415" s="53" t="s">
        <v>39</v>
      </c>
      <c r="K415" s="53" t="s">
        <v>102</v>
      </c>
      <c r="L415" s="54">
        <f t="shared" si="41"/>
        <v>43792</v>
      </c>
      <c r="M415" s="54"/>
    </row>
    <row r="416" spans="1:13" s="47" customFormat="1" ht="13.8" x14ac:dyDescent="0.3">
      <c r="A416" s="1" t="s">
        <v>46</v>
      </c>
      <c r="B416" s="3">
        <v>43791.731562499997</v>
      </c>
      <c r="C416" s="2" t="s">
        <v>37</v>
      </c>
      <c r="D416" s="2" t="str">
        <f t="shared" si="36"/>
        <v>NV123</v>
      </c>
      <c r="E416" s="2" t="s">
        <v>0</v>
      </c>
      <c r="F416" s="2" t="str">
        <f t="shared" si="37"/>
        <v>NV12343791RaChiều</v>
      </c>
      <c r="G416" s="52" t="str">
        <f t="shared" si="38"/>
        <v>17:33:27</v>
      </c>
      <c r="H416" s="53" t="str">
        <f t="shared" si="39"/>
        <v>Ra</v>
      </c>
      <c r="I416" s="53" t="str">
        <f t="shared" si="40"/>
        <v>Chiều</v>
      </c>
      <c r="J416" s="53" t="s">
        <v>37</v>
      </c>
      <c r="K416" s="53" t="s">
        <v>103</v>
      </c>
      <c r="L416" s="54">
        <f t="shared" si="41"/>
        <v>43791</v>
      </c>
      <c r="M416" s="54"/>
    </row>
    <row r="417" spans="1:13" s="47" customFormat="1" ht="13.8" x14ac:dyDescent="0.3">
      <c r="A417" s="1" t="s">
        <v>46</v>
      </c>
      <c r="B417" s="3">
        <v>43791.332407407404</v>
      </c>
      <c r="C417" s="2" t="s">
        <v>37</v>
      </c>
      <c r="D417" s="2" t="str">
        <f t="shared" si="36"/>
        <v>NV123</v>
      </c>
      <c r="E417" s="2" t="s">
        <v>0</v>
      </c>
      <c r="F417" s="2" t="str">
        <f t="shared" si="37"/>
        <v>NV12343791VàoSáng</v>
      </c>
      <c r="G417" s="52" t="str">
        <f t="shared" si="38"/>
        <v>07:58:40</v>
      </c>
      <c r="H417" s="53" t="str">
        <f t="shared" si="39"/>
        <v>Vào</v>
      </c>
      <c r="I417" s="53" t="str">
        <f t="shared" si="40"/>
        <v>Sáng</v>
      </c>
      <c r="J417" s="53" t="s">
        <v>39</v>
      </c>
      <c r="K417" s="53" t="s">
        <v>102</v>
      </c>
      <c r="L417" s="54">
        <f t="shared" si="41"/>
        <v>43791</v>
      </c>
      <c r="M417" s="54"/>
    </row>
    <row r="418" spans="1:13" s="47" customFormat="1" ht="13.8" x14ac:dyDescent="0.3">
      <c r="A418" s="1" t="s">
        <v>46</v>
      </c>
      <c r="B418" s="3">
        <v>43790.730520833335</v>
      </c>
      <c r="C418" s="2" t="s">
        <v>37</v>
      </c>
      <c r="D418" s="2" t="str">
        <f t="shared" si="36"/>
        <v>NV123</v>
      </c>
      <c r="E418" s="2" t="s">
        <v>0</v>
      </c>
      <c r="F418" s="2" t="str">
        <f t="shared" si="37"/>
        <v>NV12343790RaChiều</v>
      </c>
      <c r="G418" s="52" t="str">
        <f t="shared" si="38"/>
        <v>17:31:57</v>
      </c>
      <c r="H418" s="53" t="str">
        <f t="shared" si="39"/>
        <v>Ra</v>
      </c>
      <c r="I418" s="53" t="str">
        <f t="shared" si="40"/>
        <v>Chiều</v>
      </c>
      <c r="J418" s="53" t="s">
        <v>37</v>
      </c>
      <c r="K418" s="53" t="s">
        <v>103</v>
      </c>
      <c r="L418" s="54">
        <f t="shared" si="41"/>
        <v>43790</v>
      </c>
      <c r="M418" s="54"/>
    </row>
    <row r="419" spans="1:13" s="47" customFormat="1" ht="13.8" x14ac:dyDescent="0.3">
      <c r="A419" s="1" t="s">
        <v>46</v>
      </c>
      <c r="B419" s="3">
        <v>43790.331863425927</v>
      </c>
      <c r="C419" s="2" t="s">
        <v>37</v>
      </c>
      <c r="D419" s="2" t="str">
        <f t="shared" si="36"/>
        <v>NV123</v>
      </c>
      <c r="E419" s="2" t="s">
        <v>0</v>
      </c>
      <c r="F419" s="2" t="str">
        <f t="shared" si="37"/>
        <v>NV12343790VàoSáng</v>
      </c>
      <c r="G419" s="52" t="str">
        <f t="shared" si="38"/>
        <v>07:57:53</v>
      </c>
      <c r="H419" s="53" t="str">
        <f t="shared" si="39"/>
        <v>Vào</v>
      </c>
      <c r="I419" s="53" t="str">
        <f t="shared" si="40"/>
        <v>Sáng</v>
      </c>
      <c r="J419" s="53" t="s">
        <v>39</v>
      </c>
      <c r="K419" s="53" t="s">
        <v>102</v>
      </c>
      <c r="L419" s="54">
        <f t="shared" si="41"/>
        <v>43790</v>
      </c>
      <c r="M419" s="54"/>
    </row>
    <row r="420" spans="1:13" s="47" customFormat="1" ht="13.8" x14ac:dyDescent="0.3">
      <c r="A420" s="1" t="s">
        <v>46</v>
      </c>
      <c r="B420" s="3">
        <v>43789.731724537036</v>
      </c>
      <c r="C420" s="2" t="s">
        <v>37</v>
      </c>
      <c r="D420" s="2" t="str">
        <f t="shared" si="36"/>
        <v>NV123</v>
      </c>
      <c r="E420" s="2" t="s">
        <v>0</v>
      </c>
      <c r="F420" s="2" t="str">
        <f t="shared" si="37"/>
        <v>NV12343789RaChiều</v>
      </c>
      <c r="G420" s="52" t="str">
        <f t="shared" si="38"/>
        <v>17:33:41</v>
      </c>
      <c r="H420" s="53" t="str">
        <f t="shared" si="39"/>
        <v>Ra</v>
      </c>
      <c r="I420" s="53" t="str">
        <f t="shared" si="40"/>
        <v>Chiều</v>
      </c>
      <c r="J420" s="53" t="s">
        <v>37</v>
      </c>
      <c r="K420" s="53" t="s">
        <v>103</v>
      </c>
      <c r="L420" s="54">
        <f t="shared" si="41"/>
        <v>43789</v>
      </c>
      <c r="M420" s="54"/>
    </row>
    <row r="421" spans="1:13" s="47" customFormat="1" ht="13.8" x14ac:dyDescent="0.3">
      <c r="A421" s="1" t="s">
        <v>46</v>
      </c>
      <c r="B421" s="3">
        <v>43789.328773148147</v>
      </c>
      <c r="C421" s="2" t="s">
        <v>37</v>
      </c>
      <c r="D421" s="2" t="str">
        <f t="shared" si="36"/>
        <v>NV123</v>
      </c>
      <c r="E421" s="2" t="s">
        <v>0</v>
      </c>
      <c r="F421" s="2" t="str">
        <f t="shared" si="37"/>
        <v>NV12343789VàoSáng</v>
      </c>
      <c r="G421" s="52" t="str">
        <f t="shared" si="38"/>
        <v>07:53:26</v>
      </c>
      <c r="H421" s="53" t="str">
        <f t="shared" si="39"/>
        <v>Vào</v>
      </c>
      <c r="I421" s="53" t="str">
        <f t="shared" si="40"/>
        <v>Sáng</v>
      </c>
      <c r="J421" s="53" t="s">
        <v>39</v>
      </c>
      <c r="K421" s="53" t="s">
        <v>102</v>
      </c>
      <c r="L421" s="54">
        <f t="shared" si="41"/>
        <v>43789</v>
      </c>
      <c r="M421" s="54"/>
    </row>
    <row r="422" spans="1:13" s="47" customFormat="1" ht="13.8" x14ac:dyDescent="0.3">
      <c r="A422" s="1" t="s">
        <v>46</v>
      </c>
      <c r="B422" s="3">
        <v>43788.73033564815</v>
      </c>
      <c r="C422" s="2" t="s">
        <v>37</v>
      </c>
      <c r="D422" s="2" t="str">
        <f t="shared" si="36"/>
        <v>NV123</v>
      </c>
      <c r="E422" s="2" t="s">
        <v>0</v>
      </c>
      <c r="F422" s="2" t="str">
        <f t="shared" si="37"/>
        <v>NV12343788RaChiều</v>
      </c>
      <c r="G422" s="52" t="str">
        <f t="shared" si="38"/>
        <v>17:31:41</v>
      </c>
      <c r="H422" s="53" t="str">
        <f t="shared" si="39"/>
        <v>Ra</v>
      </c>
      <c r="I422" s="53" t="str">
        <f t="shared" si="40"/>
        <v>Chiều</v>
      </c>
      <c r="J422" s="53" t="s">
        <v>37</v>
      </c>
      <c r="K422" s="53" t="s">
        <v>103</v>
      </c>
      <c r="L422" s="54">
        <f t="shared" si="41"/>
        <v>43788</v>
      </c>
      <c r="M422" s="54"/>
    </row>
    <row r="423" spans="1:13" s="47" customFormat="1" ht="13.8" x14ac:dyDescent="0.3">
      <c r="A423" s="1" t="s">
        <v>46</v>
      </c>
      <c r="B423" s="3">
        <v>43788.32534722222</v>
      </c>
      <c r="C423" s="2" t="s">
        <v>37</v>
      </c>
      <c r="D423" s="2" t="str">
        <f t="shared" si="36"/>
        <v>NV123</v>
      </c>
      <c r="E423" s="2" t="s">
        <v>0</v>
      </c>
      <c r="F423" s="2" t="str">
        <f t="shared" si="37"/>
        <v>NV12343788VàoSáng</v>
      </c>
      <c r="G423" s="52" t="str">
        <f t="shared" si="38"/>
        <v>07:48:30</v>
      </c>
      <c r="H423" s="53" t="str">
        <f t="shared" si="39"/>
        <v>Vào</v>
      </c>
      <c r="I423" s="53" t="str">
        <f t="shared" si="40"/>
        <v>Sáng</v>
      </c>
      <c r="J423" s="53" t="s">
        <v>39</v>
      </c>
      <c r="K423" s="53" t="s">
        <v>102</v>
      </c>
      <c r="L423" s="54">
        <f t="shared" si="41"/>
        <v>43788</v>
      </c>
      <c r="M423" s="54"/>
    </row>
    <row r="424" spans="1:13" s="47" customFormat="1" ht="13.8" x14ac:dyDescent="0.3">
      <c r="A424" s="1" t="s">
        <v>46</v>
      </c>
      <c r="B424" s="3">
        <v>43787.732199074075</v>
      </c>
      <c r="C424" s="2" t="s">
        <v>37</v>
      </c>
      <c r="D424" s="2" t="str">
        <f t="shared" si="36"/>
        <v>NV123</v>
      </c>
      <c r="E424" s="2" t="s">
        <v>0</v>
      </c>
      <c r="F424" s="2" t="str">
        <f t="shared" si="37"/>
        <v>NV12343787RaChiều</v>
      </c>
      <c r="G424" s="52" t="str">
        <f t="shared" si="38"/>
        <v>17:34:22</v>
      </c>
      <c r="H424" s="53" t="str">
        <f t="shared" si="39"/>
        <v>Ra</v>
      </c>
      <c r="I424" s="53" t="str">
        <f t="shared" si="40"/>
        <v>Chiều</v>
      </c>
      <c r="J424" s="53" t="s">
        <v>37</v>
      </c>
      <c r="K424" s="53" t="s">
        <v>103</v>
      </c>
      <c r="L424" s="54">
        <f t="shared" si="41"/>
        <v>43787</v>
      </c>
      <c r="M424" s="54"/>
    </row>
    <row r="425" spans="1:13" s="47" customFormat="1" ht="13.8" x14ac:dyDescent="0.3">
      <c r="A425" s="1" t="s">
        <v>46</v>
      </c>
      <c r="B425" s="3">
        <v>43785.734872685185</v>
      </c>
      <c r="C425" s="2" t="s">
        <v>37</v>
      </c>
      <c r="D425" s="2" t="str">
        <f t="shared" si="36"/>
        <v>NV123</v>
      </c>
      <c r="E425" s="2" t="s">
        <v>0</v>
      </c>
      <c r="F425" s="2" t="str">
        <f t="shared" si="37"/>
        <v>NV12343785RaChiều</v>
      </c>
      <c r="G425" s="52" t="str">
        <f t="shared" si="38"/>
        <v>17:38:13</v>
      </c>
      <c r="H425" s="53" t="str">
        <f t="shared" si="39"/>
        <v>Ra</v>
      </c>
      <c r="I425" s="53" t="str">
        <f t="shared" si="40"/>
        <v>Chiều</v>
      </c>
      <c r="J425" s="53" t="s">
        <v>37</v>
      </c>
      <c r="K425" s="53" t="s">
        <v>103</v>
      </c>
      <c r="L425" s="54">
        <f t="shared" si="41"/>
        <v>43785</v>
      </c>
      <c r="M425" s="54"/>
    </row>
    <row r="426" spans="1:13" s="47" customFormat="1" ht="13.8" x14ac:dyDescent="0.3">
      <c r="A426" s="1" t="s">
        <v>46</v>
      </c>
      <c r="B426" s="3">
        <v>43785.319872685184</v>
      </c>
      <c r="C426" s="2" t="s">
        <v>37</v>
      </c>
      <c r="D426" s="2" t="str">
        <f t="shared" si="36"/>
        <v>NV123</v>
      </c>
      <c r="E426" s="2" t="s">
        <v>0</v>
      </c>
      <c r="F426" s="2" t="str">
        <f t="shared" si="37"/>
        <v>NV12343785VàoSáng</v>
      </c>
      <c r="G426" s="52" t="str">
        <f t="shared" si="38"/>
        <v>07:40:37</v>
      </c>
      <c r="H426" s="53" t="str">
        <f t="shared" si="39"/>
        <v>Vào</v>
      </c>
      <c r="I426" s="53" t="str">
        <f t="shared" si="40"/>
        <v>Sáng</v>
      </c>
      <c r="J426" s="53" t="s">
        <v>39</v>
      </c>
      <c r="K426" s="53" t="s">
        <v>102</v>
      </c>
      <c r="L426" s="54">
        <f t="shared" si="41"/>
        <v>43785</v>
      </c>
      <c r="M426" s="54"/>
    </row>
    <row r="427" spans="1:13" s="47" customFormat="1" ht="13.8" x14ac:dyDescent="0.3">
      <c r="A427" s="1" t="s">
        <v>46</v>
      </c>
      <c r="B427" s="3">
        <v>43784.736562499995</v>
      </c>
      <c r="C427" s="2" t="s">
        <v>37</v>
      </c>
      <c r="D427" s="2" t="str">
        <f t="shared" si="36"/>
        <v>NV123</v>
      </c>
      <c r="E427" s="2" t="s">
        <v>0</v>
      </c>
      <c r="F427" s="2" t="str">
        <f t="shared" si="37"/>
        <v>NV12343784RaChiều</v>
      </c>
      <c r="G427" s="52" t="str">
        <f t="shared" si="38"/>
        <v>17:40:39</v>
      </c>
      <c r="H427" s="53" t="str">
        <f t="shared" si="39"/>
        <v>Ra</v>
      </c>
      <c r="I427" s="53" t="str">
        <f t="shared" si="40"/>
        <v>Chiều</v>
      </c>
      <c r="J427" s="53" t="s">
        <v>37</v>
      </c>
      <c r="K427" s="53" t="s">
        <v>103</v>
      </c>
      <c r="L427" s="54">
        <f t="shared" si="41"/>
        <v>43784</v>
      </c>
      <c r="M427" s="54"/>
    </row>
    <row r="428" spans="1:13" s="47" customFormat="1" ht="13.8" x14ac:dyDescent="0.3">
      <c r="A428" s="1" t="s">
        <v>46</v>
      </c>
      <c r="B428" s="3">
        <v>43784.324490740742</v>
      </c>
      <c r="C428" s="2" t="s">
        <v>37</v>
      </c>
      <c r="D428" s="2" t="str">
        <f t="shared" si="36"/>
        <v>NV123</v>
      </c>
      <c r="E428" s="2" t="s">
        <v>0</v>
      </c>
      <c r="F428" s="2" t="str">
        <f t="shared" si="37"/>
        <v>NV12343784VàoSáng</v>
      </c>
      <c r="G428" s="52" t="str">
        <f t="shared" si="38"/>
        <v>07:47:16</v>
      </c>
      <c r="H428" s="53" t="str">
        <f t="shared" si="39"/>
        <v>Vào</v>
      </c>
      <c r="I428" s="53" t="str">
        <f t="shared" si="40"/>
        <v>Sáng</v>
      </c>
      <c r="J428" s="53" t="s">
        <v>39</v>
      </c>
      <c r="K428" s="53" t="s">
        <v>102</v>
      </c>
      <c r="L428" s="54">
        <f t="shared" si="41"/>
        <v>43784</v>
      </c>
      <c r="M428" s="54"/>
    </row>
    <row r="429" spans="1:13" s="47" customFormat="1" ht="13.8" x14ac:dyDescent="0.3">
      <c r="A429" s="1" t="s">
        <v>46</v>
      </c>
      <c r="B429" s="3">
        <v>43783.733888888884</v>
      </c>
      <c r="C429" s="2" t="s">
        <v>37</v>
      </c>
      <c r="D429" s="2" t="str">
        <f t="shared" si="36"/>
        <v>NV123</v>
      </c>
      <c r="E429" s="2" t="s">
        <v>0</v>
      </c>
      <c r="F429" s="2" t="str">
        <f t="shared" si="37"/>
        <v>NV12343783RaChiều</v>
      </c>
      <c r="G429" s="52" t="str">
        <f t="shared" si="38"/>
        <v>17:36:48</v>
      </c>
      <c r="H429" s="53" t="str">
        <f t="shared" si="39"/>
        <v>Ra</v>
      </c>
      <c r="I429" s="53" t="str">
        <f t="shared" si="40"/>
        <v>Chiều</v>
      </c>
      <c r="J429" s="53" t="s">
        <v>37</v>
      </c>
      <c r="K429" s="53" t="s">
        <v>103</v>
      </c>
      <c r="L429" s="54">
        <f t="shared" si="41"/>
        <v>43783</v>
      </c>
      <c r="M429" s="54"/>
    </row>
    <row r="430" spans="1:13" s="47" customFormat="1" ht="13.8" x14ac:dyDescent="0.3">
      <c r="A430" s="1" t="s">
        <v>46</v>
      </c>
      <c r="B430" s="3">
        <v>43783.327627314815</v>
      </c>
      <c r="C430" s="2" t="s">
        <v>37</v>
      </c>
      <c r="D430" s="2" t="str">
        <f t="shared" si="36"/>
        <v>NV123</v>
      </c>
      <c r="E430" s="2" t="s">
        <v>0</v>
      </c>
      <c r="F430" s="2" t="str">
        <f t="shared" si="37"/>
        <v>NV12343783VàoSáng</v>
      </c>
      <c r="G430" s="52" t="str">
        <f t="shared" si="38"/>
        <v>07:51:47</v>
      </c>
      <c r="H430" s="53" t="str">
        <f t="shared" si="39"/>
        <v>Vào</v>
      </c>
      <c r="I430" s="53" t="str">
        <f t="shared" si="40"/>
        <v>Sáng</v>
      </c>
      <c r="J430" s="53" t="s">
        <v>39</v>
      </c>
      <c r="K430" s="53" t="s">
        <v>102</v>
      </c>
      <c r="L430" s="54">
        <f t="shared" si="41"/>
        <v>43783</v>
      </c>
      <c r="M430" s="54"/>
    </row>
    <row r="431" spans="1:13" s="47" customFormat="1" ht="13.8" x14ac:dyDescent="0.3">
      <c r="A431" s="1" t="s">
        <v>46</v>
      </c>
      <c r="B431" s="3">
        <v>43782.731412037036</v>
      </c>
      <c r="C431" s="2" t="s">
        <v>37</v>
      </c>
      <c r="D431" s="2" t="str">
        <f t="shared" si="36"/>
        <v>NV123</v>
      </c>
      <c r="E431" s="2" t="s">
        <v>0</v>
      </c>
      <c r="F431" s="2" t="str">
        <f t="shared" si="37"/>
        <v>NV12343782RaChiều</v>
      </c>
      <c r="G431" s="52" t="str">
        <f t="shared" si="38"/>
        <v>17:33:14</v>
      </c>
      <c r="H431" s="53" t="str">
        <f t="shared" si="39"/>
        <v>Ra</v>
      </c>
      <c r="I431" s="53" t="str">
        <f t="shared" si="40"/>
        <v>Chiều</v>
      </c>
      <c r="J431" s="53" t="s">
        <v>37</v>
      </c>
      <c r="K431" s="53" t="s">
        <v>103</v>
      </c>
      <c r="L431" s="54">
        <f t="shared" si="41"/>
        <v>43782</v>
      </c>
      <c r="M431" s="54"/>
    </row>
    <row r="432" spans="1:13" s="47" customFormat="1" ht="13.8" x14ac:dyDescent="0.3">
      <c r="A432" s="1" t="s">
        <v>46</v>
      </c>
      <c r="B432" s="3">
        <v>43782.327245370368</v>
      </c>
      <c r="C432" s="2" t="s">
        <v>37</v>
      </c>
      <c r="D432" s="2" t="str">
        <f t="shared" si="36"/>
        <v>NV123</v>
      </c>
      <c r="E432" s="2" t="s">
        <v>0</v>
      </c>
      <c r="F432" s="2" t="str">
        <f t="shared" si="37"/>
        <v>NV12343782VàoSáng</v>
      </c>
      <c r="G432" s="52" t="str">
        <f t="shared" si="38"/>
        <v>07:51:14</v>
      </c>
      <c r="H432" s="53" t="str">
        <f t="shared" si="39"/>
        <v>Vào</v>
      </c>
      <c r="I432" s="53" t="str">
        <f t="shared" si="40"/>
        <v>Sáng</v>
      </c>
      <c r="J432" s="53" t="s">
        <v>39</v>
      </c>
      <c r="K432" s="53" t="s">
        <v>102</v>
      </c>
      <c r="L432" s="54">
        <f t="shared" si="41"/>
        <v>43782</v>
      </c>
      <c r="M432" s="54"/>
    </row>
    <row r="433" spans="1:13" s="47" customFormat="1" ht="13.8" x14ac:dyDescent="0.3">
      <c r="A433" s="1" t="s">
        <v>46</v>
      </c>
      <c r="B433" s="3">
        <v>43781.736331018517</v>
      </c>
      <c r="C433" s="2" t="s">
        <v>37</v>
      </c>
      <c r="D433" s="2" t="str">
        <f t="shared" si="36"/>
        <v>NV123</v>
      </c>
      <c r="E433" s="2" t="s">
        <v>0</v>
      </c>
      <c r="F433" s="2" t="str">
        <f t="shared" si="37"/>
        <v>NV12343781RaChiều</v>
      </c>
      <c r="G433" s="52" t="str">
        <f t="shared" si="38"/>
        <v>17:40:19</v>
      </c>
      <c r="H433" s="53" t="str">
        <f t="shared" si="39"/>
        <v>Ra</v>
      </c>
      <c r="I433" s="53" t="str">
        <f t="shared" si="40"/>
        <v>Chiều</v>
      </c>
      <c r="J433" s="53" t="s">
        <v>37</v>
      </c>
      <c r="K433" s="53" t="s">
        <v>103</v>
      </c>
      <c r="L433" s="54">
        <f t="shared" si="41"/>
        <v>43781</v>
      </c>
      <c r="M433" s="54"/>
    </row>
    <row r="434" spans="1:13" s="47" customFormat="1" ht="13.8" x14ac:dyDescent="0.3">
      <c r="A434" s="1" t="s">
        <v>46</v>
      </c>
      <c r="B434" s="3">
        <v>43781.330046296294</v>
      </c>
      <c r="C434" s="2" t="s">
        <v>37</v>
      </c>
      <c r="D434" s="2" t="str">
        <f t="shared" si="36"/>
        <v>NV123</v>
      </c>
      <c r="E434" s="2" t="s">
        <v>0</v>
      </c>
      <c r="F434" s="2" t="str">
        <f t="shared" si="37"/>
        <v>NV12343781VàoSáng</v>
      </c>
      <c r="G434" s="52" t="str">
        <f t="shared" si="38"/>
        <v>07:55:16</v>
      </c>
      <c r="H434" s="53" t="str">
        <f t="shared" si="39"/>
        <v>Vào</v>
      </c>
      <c r="I434" s="53" t="str">
        <f t="shared" si="40"/>
        <v>Sáng</v>
      </c>
      <c r="J434" s="53" t="s">
        <v>39</v>
      </c>
      <c r="K434" s="53" t="s">
        <v>102</v>
      </c>
      <c r="L434" s="54">
        <f t="shared" si="41"/>
        <v>43781</v>
      </c>
      <c r="M434" s="54"/>
    </row>
    <row r="435" spans="1:13" s="47" customFormat="1" ht="13.8" x14ac:dyDescent="0.3">
      <c r="A435" s="1" t="s">
        <v>46</v>
      </c>
      <c r="B435" s="3">
        <v>43780.734733796293</v>
      </c>
      <c r="C435" s="2" t="s">
        <v>37</v>
      </c>
      <c r="D435" s="2" t="str">
        <f t="shared" si="36"/>
        <v>NV123</v>
      </c>
      <c r="E435" s="2" t="s">
        <v>0</v>
      </c>
      <c r="F435" s="2" t="str">
        <f t="shared" si="37"/>
        <v>NV12343780RaChiều</v>
      </c>
      <c r="G435" s="52" t="str">
        <f t="shared" si="38"/>
        <v>17:38:01</v>
      </c>
      <c r="H435" s="53" t="str">
        <f t="shared" si="39"/>
        <v>Ra</v>
      </c>
      <c r="I435" s="53" t="str">
        <f t="shared" si="40"/>
        <v>Chiều</v>
      </c>
      <c r="J435" s="53" t="s">
        <v>37</v>
      </c>
      <c r="K435" s="53" t="s">
        <v>103</v>
      </c>
      <c r="L435" s="54">
        <f t="shared" si="41"/>
        <v>43780</v>
      </c>
      <c r="M435" s="54"/>
    </row>
    <row r="436" spans="1:13" s="47" customFormat="1" ht="13.8" x14ac:dyDescent="0.3">
      <c r="A436" s="1" t="s">
        <v>46</v>
      </c>
      <c r="B436" s="3">
        <v>43780.331006944441</v>
      </c>
      <c r="C436" s="2" t="s">
        <v>37</v>
      </c>
      <c r="D436" s="2" t="str">
        <f t="shared" si="36"/>
        <v>NV123</v>
      </c>
      <c r="E436" s="2" t="s">
        <v>0</v>
      </c>
      <c r="F436" s="2" t="str">
        <f t="shared" si="37"/>
        <v>NV12343780VàoSáng</v>
      </c>
      <c r="G436" s="52" t="str">
        <f t="shared" si="38"/>
        <v>07:56:39</v>
      </c>
      <c r="H436" s="53" t="str">
        <f t="shared" si="39"/>
        <v>Vào</v>
      </c>
      <c r="I436" s="53" t="str">
        <f t="shared" si="40"/>
        <v>Sáng</v>
      </c>
      <c r="J436" s="53" t="s">
        <v>39</v>
      </c>
      <c r="K436" s="53" t="s">
        <v>102</v>
      </c>
      <c r="L436" s="54">
        <f t="shared" si="41"/>
        <v>43780</v>
      </c>
      <c r="M436" s="54"/>
    </row>
    <row r="437" spans="1:13" s="47" customFormat="1" ht="13.8" x14ac:dyDescent="0.3">
      <c r="A437" s="1" t="s">
        <v>46</v>
      </c>
      <c r="B437" s="3">
        <v>43778.690682870365</v>
      </c>
      <c r="C437" s="2" t="s">
        <v>37</v>
      </c>
      <c r="D437" s="2" t="str">
        <f t="shared" si="36"/>
        <v>NV123</v>
      </c>
      <c r="E437" s="2" t="s">
        <v>0</v>
      </c>
      <c r="F437" s="2" t="str">
        <f t="shared" si="37"/>
        <v>NV12343778RaChiều</v>
      </c>
      <c r="G437" s="52" t="str">
        <f t="shared" si="38"/>
        <v>16:34:35</v>
      </c>
      <c r="H437" s="53" t="str">
        <f t="shared" si="39"/>
        <v>Ra</v>
      </c>
      <c r="I437" s="53" t="str">
        <f t="shared" si="40"/>
        <v>Chiều</v>
      </c>
      <c r="J437" s="53" t="s">
        <v>37</v>
      </c>
      <c r="K437" s="53" t="s">
        <v>103</v>
      </c>
      <c r="L437" s="54">
        <f t="shared" si="41"/>
        <v>43778</v>
      </c>
      <c r="M437" s="54"/>
    </row>
    <row r="438" spans="1:13" s="47" customFormat="1" ht="13.8" x14ac:dyDescent="0.3">
      <c r="A438" s="1" t="s">
        <v>46</v>
      </c>
      <c r="B438" s="3">
        <v>43778.324525462958</v>
      </c>
      <c r="C438" s="2" t="s">
        <v>37</v>
      </c>
      <c r="D438" s="2" t="str">
        <f t="shared" si="36"/>
        <v>NV123</v>
      </c>
      <c r="E438" s="2" t="s">
        <v>0</v>
      </c>
      <c r="F438" s="2" t="str">
        <f t="shared" si="37"/>
        <v>NV12343778VàoSáng</v>
      </c>
      <c r="G438" s="52" t="str">
        <f t="shared" si="38"/>
        <v>07:47:19</v>
      </c>
      <c r="H438" s="53" t="str">
        <f t="shared" si="39"/>
        <v>Vào</v>
      </c>
      <c r="I438" s="53" t="str">
        <f t="shared" si="40"/>
        <v>Sáng</v>
      </c>
      <c r="J438" s="53" t="s">
        <v>39</v>
      </c>
      <c r="K438" s="53" t="s">
        <v>102</v>
      </c>
      <c r="L438" s="54">
        <f t="shared" si="41"/>
        <v>43778</v>
      </c>
      <c r="M438" s="54"/>
    </row>
    <row r="439" spans="1:13" s="47" customFormat="1" ht="13.8" x14ac:dyDescent="0.3">
      <c r="A439" s="1" t="s">
        <v>46</v>
      </c>
      <c r="B439" s="3">
        <v>43777.732986111107</v>
      </c>
      <c r="C439" s="2" t="s">
        <v>37</v>
      </c>
      <c r="D439" s="2" t="str">
        <f t="shared" si="36"/>
        <v>NV123</v>
      </c>
      <c r="E439" s="2" t="s">
        <v>0</v>
      </c>
      <c r="F439" s="2" t="str">
        <f t="shared" si="37"/>
        <v>NV12343777RaChiều</v>
      </c>
      <c r="G439" s="52" t="str">
        <f t="shared" si="38"/>
        <v>17:35:30</v>
      </c>
      <c r="H439" s="53" t="str">
        <f t="shared" si="39"/>
        <v>Ra</v>
      </c>
      <c r="I439" s="53" t="str">
        <f t="shared" si="40"/>
        <v>Chiều</v>
      </c>
      <c r="J439" s="53" t="s">
        <v>37</v>
      </c>
      <c r="K439" s="53" t="s">
        <v>103</v>
      </c>
      <c r="L439" s="54">
        <f t="shared" si="41"/>
        <v>43777</v>
      </c>
      <c r="M439" s="54"/>
    </row>
    <row r="440" spans="1:13" s="47" customFormat="1" ht="13.8" x14ac:dyDescent="0.3">
      <c r="A440" s="1" t="s">
        <v>46</v>
      </c>
      <c r="B440" s="3">
        <v>43777.332604166666</v>
      </c>
      <c r="C440" s="2" t="s">
        <v>37</v>
      </c>
      <c r="D440" s="2" t="str">
        <f t="shared" si="36"/>
        <v>NV123</v>
      </c>
      <c r="E440" s="2" t="s">
        <v>0</v>
      </c>
      <c r="F440" s="2" t="str">
        <f t="shared" si="37"/>
        <v>NV12343777VàoSáng</v>
      </c>
      <c r="G440" s="52" t="str">
        <f t="shared" si="38"/>
        <v>07:58:57</v>
      </c>
      <c r="H440" s="53" t="str">
        <f t="shared" si="39"/>
        <v>Vào</v>
      </c>
      <c r="I440" s="53" t="str">
        <f t="shared" si="40"/>
        <v>Sáng</v>
      </c>
      <c r="J440" s="53" t="s">
        <v>39</v>
      </c>
      <c r="K440" s="53" t="s">
        <v>102</v>
      </c>
      <c r="L440" s="54">
        <f t="shared" si="41"/>
        <v>43777</v>
      </c>
      <c r="M440" s="54"/>
    </row>
    <row r="441" spans="1:13" s="47" customFormat="1" ht="13.8" x14ac:dyDescent="0.3">
      <c r="A441" s="1" t="s">
        <v>46</v>
      </c>
      <c r="B441" s="3">
        <v>43776.740624999999</v>
      </c>
      <c r="C441" s="2" t="s">
        <v>37</v>
      </c>
      <c r="D441" s="2" t="str">
        <f t="shared" si="36"/>
        <v>NV123</v>
      </c>
      <c r="E441" s="2" t="s">
        <v>0</v>
      </c>
      <c r="F441" s="2" t="str">
        <f t="shared" si="37"/>
        <v>NV12343776RaChiều</v>
      </c>
      <c r="G441" s="52" t="str">
        <f t="shared" si="38"/>
        <v>17:46:30</v>
      </c>
      <c r="H441" s="53" t="str">
        <f t="shared" si="39"/>
        <v>Ra</v>
      </c>
      <c r="I441" s="53" t="str">
        <f t="shared" si="40"/>
        <v>Chiều</v>
      </c>
      <c r="J441" s="53" t="s">
        <v>37</v>
      </c>
      <c r="K441" s="53" t="s">
        <v>103</v>
      </c>
      <c r="L441" s="54">
        <f t="shared" si="41"/>
        <v>43776</v>
      </c>
      <c r="M441" s="54"/>
    </row>
    <row r="442" spans="1:13" s="47" customFormat="1" ht="13.8" x14ac:dyDescent="0.3">
      <c r="A442" s="1" t="s">
        <v>46</v>
      </c>
      <c r="B442" s="3">
        <v>43776.327175925922</v>
      </c>
      <c r="C442" s="2" t="s">
        <v>37</v>
      </c>
      <c r="D442" s="2" t="str">
        <f t="shared" si="36"/>
        <v>NV123</v>
      </c>
      <c r="E442" s="2" t="s">
        <v>0</v>
      </c>
      <c r="F442" s="2" t="str">
        <f t="shared" si="37"/>
        <v>NV12343776VàoSáng</v>
      </c>
      <c r="G442" s="52" t="str">
        <f t="shared" si="38"/>
        <v>07:51:08</v>
      </c>
      <c r="H442" s="53" t="str">
        <f t="shared" si="39"/>
        <v>Vào</v>
      </c>
      <c r="I442" s="53" t="str">
        <f t="shared" si="40"/>
        <v>Sáng</v>
      </c>
      <c r="J442" s="53" t="s">
        <v>39</v>
      </c>
      <c r="K442" s="53" t="s">
        <v>102</v>
      </c>
      <c r="L442" s="54">
        <f t="shared" si="41"/>
        <v>43776</v>
      </c>
      <c r="M442" s="54"/>
    </row>
    <row r="443" spans="1:13" s="47" customFormat="1" ht="13.8" x14ac:dyDescent="0.3">
      <c r="A443" s="1" t="s">
        <v>46</v>
      </c>
      <c r="B443" s="3">
        <v>43775.732372685183</v>
      </c>
      <c r="C443" s="2" t="s">
        <v>37</v>
      </c>
      <c r="D443" s="2" t="str">
        <f t="shared" si="36"/>
        <v>NV123</v>
      </c>
      <c r="E443" s="2" t="s">
        <v>0</v>
      </c>
      <c r="F443" s="2" t="str">
        <f t="shared" si="37"/>
        <v>NV12343775RaChiều</v>
      </c>
      <c r="G443" s="52" t="str">
        <f t="shared" si="38"/>
        <v>17:34:37</v>
      </c>
      <c r="H443" s="53" t="str">
        <f t="shared" si="39"/>
        <v>Ra</v>
      </c>
      <c r="I443" s="53" t="str">
        <f t="shared" si="40"/>
        <v>Chiều</v>
      </c>
      <c r="J443" s="53" t="s">
        <v>37</v>
      </c>
      <c r="K443" s="53" t="s">
        <v>103</v>
      </c>
      <c r="L443" s="54">
        <f t="shared" si="41"/>
        <v>43775</v>
      </c>
      <c r="M443" s="54"/>
    </row>
    <row r="444" spans="1:13" s="47" customFormat="1" ht="13.8" x14ac:dyDescent="0.3">
      <c r="A444" s="1" t="s">
        <v>46</v>
      </c>
      <c r="B444" s="3">
        <v>43775.327731481477</v>
      </c>
      <c r="C444" s="2" t="s">
        <v>37</v>
      </c>
      <c r="D444" s="2" t="str">
        <f t="shared" si="36"/>
        <v>NV123</v>
      </c>
      <c r="E444" s="2" t="s">
        <v>0</v>
      </c>
      <c r="F444" s="2" t="str">
        <f t="shared" si="37"/>
        <v>NV12343775VàoSáng</v>
      </c>
      <c r="G444" s="52" t="str">
        <f t="shared" si="38"/>
        <v>07:51:56</v>
      </c>
      <c r="H444" s="53" t="str">
        <f t="shared" si="39"/>
        <v>Vào</v>
      </c>
      <c r="I444" s="53" t="str">
        <f t="shared" si="40"/>
        <v>Sáng</v>
      </c>
      <c r="J444" s="53" t="s">
        <v>39</v>
      </c>
      <c r="K444" s="53" t="s">
        <v>102</v>
      </c>
      <c r="L444" s="54">
        <f t="shared" si="41"/>
        <v>43775</v>
      </c>
      <c r="M444" s="54"/>
    </row>
    <row r="445" spans="1:13" s="47" customFormat="1" ht="13.8" x14ac:dyDescent="0.3">
      <c r="A445" s="1" t="s">
        <v>46</v>
      </c>
      <c r="B445" s="3">
        <v>43774.731793981482</v>
      </c>
      <c r="C445" s="2" t="s">
        <v>37</v>
      </c>
      <c r="D445" s="2" t="str">
        <f t="shared" si="36"/>
        <v>NV123</v>
      </c>
      <c r="E445" s="2" t="s">
        <v>0</v>
      </c>
      <c r="F445" s="2" t="str">
        <f t="shared" si="37"/>
        <v>NV12343774RaChiều</v>
      </c>
      <c r="G445" s="52" t="str">
        <f t="shared" si="38"/>
        <v>17:33:47</v>
      </c>
      <c r="H445" s="53" t="str">
        <f t="shared" si="39"/>
        <v>Ra</v>
      </c>
      <c r="I445" s="53" t="str">
        <f t="shared" si="40"/>
        <v>Chiều</v>
      </c>
      <c r="J445" s="53" t="s">
        <v>37</v>
      </c>
      <c r="K445" s="53" t="s">
        <v>103</v>
      </c>
      <c r="L445" s="54">
        <f t="shared" si="41"/>
        <v>43774</v>
      </c>
      <c r="M445" s="54"/>
    </row>
    <row r="446" spans="1:13" s="47" customFormat="1" ht="13.8" x14ac:dyDescent="0.3">
      <c r="A446" s="1" t="s">
        <v>46</v>
      </c>
      <c r="B446" s="3">
        <v>43774.331597222219</v>
      </c>
      <c r="C446" s="2" t="s">
        <v>37</v>
      </c>
      <c r="D446" s="2" t="str">
        <f t="shared" si="36"/>
        <v>NV123</v>
      </c>
      <c r="E446" s="2" t="s">
        <v>0</v>
      </c>
      <c r="F446" s="2" t="str">
        <f t="shared" si="37"/>
        <v>NV12343774VàoSáng</v>
      </c>
      <c r="G446" s="52" t="str">
        <f t="shared" si="38"/>
        <v>07:57:30</v>
      </c>
      <c r="H446" s="53" t="str">
        <f t="shared" si="39"/>
        <v>Vào</v>
      </c>
      <c r="I446" s="53" t="str">
        <f t="shared" si="40"/>
        <v>Sáng</v>
      </c>
      <c r="J446" s="53" t="s">
        <v>39</v>
      </c>
      <c r="K446" s="53" t="s">
        <v>102</v>
      </c>
      <c r="L446" s="54">
        <f t="shared" si="41"/>
        <v>43774</v>
      </c>
      <c r="M446" s="54"/>
    </row>
    <row r="447" spans="1:13" s="47" customFormat="1" ht="13.8" x14ac:dyDescent="0.3">
      <c r="A447" s="1" t="s">
        <v>46</v>
      </c>
      <c r="B447" s="3">
        <v>43771.730277777773</v>
      </c>
      <c r="C447" s="2" t="s">
        <v>37</v>
      </c>
      <c r="D447" s="2" t="str">
        <f t="shared" si="36"/>
        <v>NV123</v>
      </c>
      <c r="E447" s="2" t="s">
        <v>0</v>
      </c>
      <c r="F447" s="2" t="str">
        <f t="shared" si="37"/>
        <v>NV12343771RaChiều</v>
      </c>
      <c r="G447" s="52" t="str">
        <f t="shared" si="38"/>
        <v>17:31:36</v>
      </c>
      <c r="H447" s="53" t="str">
        <f t="shared" si="39"/>
        <v>Ra</v>
      </c>
      <c r="I447" s="53" t="str">
        <f t="shared" si="40"/>
        <v>Chiều</v>
      </c>
      <c r="J447" s="53" t="s">
        <v>37</v>
      </c>
      <c r="K447" s="53" t="s">
        <v>103</v>
      </c>
      <c r="L447" s="54">
        <f t="shared" si="41"/>
        <v>43771</v>
      </c>
      <c r="M447" s="54"/>
    </row>
    <row r="448" spans="1:13" s="47" customFormat="1" ht="13.8" x14ac:dyDescent="0.3">
      <c r="A448" s="1" t="s">
        <v>46</v>
      </c>
      <c r="B448" s="3">
        <v>43771.320405092592</v>
      </c>
      <c r="C448" s="2" t="s">
        <v>37</v>
      </c>
      <c r="D448" s="2" t="str">
        <f t="shared" si="36"/>
        <v>NV123</v>
      </c>
      <c r="E448" s="2" t="s">
        <v>0</v>
      </c>
      <c r="F448" s="2" t="str">
        <f t="shared" si="37"/>
        <v>NV12343771VàoSáng</v>
      </c>
      <c r="G448" s="52" t="str">
        <f t="shared" si="38"/>
        <v>07:41:23</v>
      </c>
      <c r="H448" s="53" t="str">
        <f t="shared" si="39"/>
        <v>Vào</v>
      </c>
      <c r="I448" s="53" t="str">
        <f t="shared" si="40"/>
        <v>Sáng</v>
      </c>
      <c r="J448" s="53" t="s">
        <v>39</v>
      </c>
      <c r="K448" s="53" t="s">
        <v>102</v>
      </c>
      <c r="L448" s="54">
        <f t="shared" si="41"/>
        <v>43771</v>
      </c>
      <c r="M448" s="54"/>
    </row>
    <row r="449" spans="1:13" s="47" customFormat="1" ht="13.8" x14ac:dyDescent="0.3">
      <c r="A449" s="1" t="s">
        <v>46</v>
      </c>
      <c r="B449" s="3">
        <v>43770.734629629631</v>
      </c>
      <c r="C449" s="2" t="s">
        <v>37</v>
      </c>
      <c r="D449" s="2" t="str">
        <f t="shared" si="36"/>
        <v>NV123</v>
      </c>
      <c r="E449" s="2" t="s">
        <v>0</v>
      </c>
      <c r="F449" s="2" t="str">
        <f t="shared" si="37"/>
        <v>NV12343770RaChiều</v>
      </c>
      <c r="G449" s="52" t="str">
        <f t="shared" si="38"/>
        <v>17:37:52</v>
      </c>
      <c r="H449" s="53" t="str">
        <f t="shared" si="39"/>
        <v>Ra</v>
      </c>
      <c r="I449" s="53" t="str">
        <f t="shared" si="40"/>
        <v>Chiều</v>
      </c>
      <c r="J449" s="53" t="s">
        <v>37</v>
      </c>
      <c r="K449" s="53" t="s">
        <v>103</v>
      </c>
      <c r="L449" s="54">
        <f t="shared" si="41"/>
        <v>43770</v>
      </c>
      <c r="M449" s="54"/>
    </row>
    <row r="450" spans="1:13" s="47" customFormat="1" ht="13.8" x14ac:dyDescent="0.3">
      <c r="A450" s="1" t="s">
        <v>46</v>
      </c>
      <c r="B450" s="3">
        <v>43770.324108796296</v>
      </c>
      <c r="C450" s="2" t="s">
        <v>37</v>
      </c>
      <c r="D450" s="2" t="str">
        <f t="shared" si="36"/>
        <v>NV123</v>
      </c>
      <c r="E450" s="2" t="s">
        <v>0</v>
      </c>
      <c r="F450" s="2" t="str">
        <f t="shared" si="37"/>
        <v>NV12343770VàoSáng</v>
      </c>
      <c r="G450" s="52" t="str">
        <f t="shared" si="38"/>
        <v>07:46:43</v>
      </c>
      <c r="H450" s="53" t="str">
        <f t="shared" si="39"/>
        <v>Vào</v>
      </c>
      <c r="I450" s="53" t="str">
        <f t="shared" si="40"/>
        <v>Sáng</v>
      </c>
      <c r="J450" s="53" t="s">
        <v>39</v>
      </c>
      <c r="K450" s="53" t="s">
        <v>102</v>
      </c>
      <c r="L450" s="54">
        <f t="shared" si="41"/>
        <v>43770</v>
      </c>
      <c r="M450" s="54"/>
    </row>
    <row r="451" spans="1:13" s="47" customFormat="1" ht="13.8" x14ac:dyDescent="0.3">
      <c r="A451" s="1" t="s">
        <v>47</v>
      </c>
      <c r="B451" s="3">
        <v>43799.732002314813</v>
      </c>
      <c r="C451" s="2" t="s">
        <v>37</v>
      </c>
      <c r="D451" s="2" t="str">
        <f t="shared" si="36"/>
        <v>NV126</v>
      </c>
      <c r="E451" s="2" t="s">
        <v>0</v>
      </c>
      <c r="F451" s="2" t="str">
        <f t="shared" si="37"/>
        <v>NV12643799RaChiều</v>
      </c>
      <c r="G451" s="52" t="str">
        <f t="shared" si="38"/>
        <v>17:34:05</v>
      </c>
      <c r="H451" s="53" t="str">
        <f t="shared" si="39"/>
        <v>Ra</v>
      </c>
      <c r="I451" s="53" t="str">
        <f t="shared" si="40"/>
        <v>Chiều</v>
      </c>
      <c r="J451" s="53" t="s">
        <v>37</v>
      </c>
      <c r="K451" s="53" t="s">
        <v>103</v>
      </c>
      <c r="L451" s="54">
        <f t="shared" si="41"/>
        <v>43799</v>
      </c>
      <c r="M451" s="54"/>
    </row>
    <row r="452" spans="1:13" s="47" customFormat="1" ht="13.8" x14ac:dyDescent="0.3">
      <c r="A452" s="1" t="s">
        <v>47</v>
      </c>
      <c r="B452" s="3">
        <v>43799.329293981478</v>
      </c>
      <c r="C452" s="2" t="s">
        <v>37</v>
      </c>
      <c r="D452" s="2" t="str">
        <f t="shared" si="36"/>
        <v>NV126</v>
      </c>
      <c r="E452" s="2" t="s">
        <v>0</v>
      </c>
      <c r="F452" s="2" t="str">
        <f t="shared" si="37"/>
        <v>NV12643799VàoSáng</v>
      </c>
      <c r="G452" s="52" t="str">
        <f t="shared" si="38"/>
        <v>07:54:11</v>
      </c>
      <c r="H452" s="53" t="str">
        <f t="shared" si="39"/>
        <v>Vào</v>
      </c>
      <c r="I452" s="53" t="str">
        <f t="shared" si="40"/>
        <v>Sáng</v>
      </c>
      <c r="J452" s="53" t="s">
        <v>39</v>
      </c>
      <c r="K452" s="53" t="s">
        <v>102</v>
      </c>
      <c r="L452" s="54">
        <f t="shared" si="41"/>
        <v>43799</v>
      </c>
      <c r="M452" s="54"/>
    </row>
    <row r="453" spans="1:13" s="47" customFormat="1" ht="13.8" x14ac:dyDescent="0.3">
      <c r="A453" s="1" t="s">
        <v>47</v>
      </c>
      <c r="B453" s="3">
        <v>43798.732048611106</v>
      </c>
      <c r="C453" s="2" t="s">
        <v>37</v>
      </c>
      <c r="D453" s="2" t="str">
        <f t="shared" si="36"/>
        <v>NV126</v>
      </c>
      <c r="E453" s="2" t="s">
        <v>0</v>
      </c>
      <c r="F453" s="2" t="str">
        <f t="shared" si="37"/>
        <v>NV12643798RaChiều</v>
      </c>
      <c r="G453" s="52" t="str">
        <f t="shared" si="38"/>
        <v>17:34:09</v>
      </c>
      <c r="H453" s="53" t="str">
        <f t="shared" si="39"/>
        <v>Ra</v>
      </c>
      <c r="I453" s="53" t="str">
        <f t="shared" si="40"/>
        <v>Chiều</v>
      </c>
      <c r="J453" s="53" t="s">
        <v>37</v>
      </c>
      <c r="K453" s="53" t="s">
        <v>103</v>
      </c>
      <c r="L453" s="54">
        <f t="shared" si="41"/>
        <v>43798</v>
      </c>
      <c r="M453" s="54"/>
    </row>
    <row r="454" spans="1:13" s="47" customFormat="1" ht="13.8" x14ac:dyDescent="0.3">
      <c r="A454" s="1" t="s">
        <v>47</v>
      </c>
      <c r="B454" s="3">
        <v>43798.329027777778</v>
      </c>
      <c r="C454" s="2" t="s">
        <v>37</v>
      </c>
      <c r="D454" s="2" t="str">
        <f t="shared" ref="D454:D505" si="42">"NV"&amp;A454</f>
        <v>NV126</v>
      </c>
      <c r="E454" s="2" t="s">
        <v>0</v>
      </c>
      <c r="F454" s="2" t="str">
        <f t="shared" ref="F454:F505" si="43">D454&amp;L454&amp;J454&amp;K454</f>
        <v>NV12643798VàoSáng</v>
      </c>
      <c r="G454" s="52" t="str">
        <f t="shared" si="38"/>
        <v>07:53:48</v>
      </c>
      <c r="H454" s="53" t="str">
        <f t="shared" si="39"/>
        <v>Vào</v>
      </c>
      <c r="I454" s="53" t="str">
        <f t="shared" si="40"/>
        <v>Sáng</v>
      </c>
      <c r="J454" s="53" t="s">
        <v>39</v>
      </c>
      <c r="K454" s="53" t="s">
        <v>102</v>
      </c>
      <c r="L454" s="54">
        <f t="shared" si="41"/>
        <v>43798</v>
      </c>
      <c r="M454" s="54"/>
    </row>
    <row r="455" spans="1:13" s="47" customFormat="1" ht="13.8" x14ac:dyDescent="0.3">
      <c r="A455" s="1" t="s">
        <v>47</v>
      </c>
      <c r="B455" s="3">
        <v>43797.734270833331</v>
      </c>
      <c r="C455" s="2" t="s">
        <v>37</v>
      </c>
      <c r="D455" s="2" t="str">
        <f t="shared" si="42"/>
        <v>NV126</v>
      </c>
      <c r="E455" s="2" t="s">
        <v>0</v>
      </c>
      <c r="F455" s="2" t="str">
        <f t="shared" si="43"/>
        <v>NV12643797RaChiều</v>
      </c>
      <c r="G455" s="52" t="str">
        <f t="shared" ref="G455:G502" si="44">TEXT(TIME(HOUR(B455),MINUTE(B455),SECOND(B455)),"hh:mm:ss")</f>
        <v>17:37:21</v>
      </c>
      <c r="H455" s="53" t="str">
        <f t="shared" ref="H455:H502" si="45">IF(AND(I455="Sáng",G455&lt;"11:00:00",G455&gt;="07:00:00"),"Vào",
IF(AND(I455="Sáng",G455&lt;"13:00:00",G455&gt;="11:00:00"),"Ra",
IF(AND(I455="Chiều",G455&lt;"16:00:00",G455&gt;="13:00:00"),"Vào",
IF(AND(I455="Chiều",G455&lt;"20:00:00",G455&gt;="16:00:00"),"Ra"))))</f>
        <v>Ra</v>
      </c>
      <c r="I455" s="53" t="str">
        <f t="shared" ref="I455:I502" si="46">IF(G455&lt;="12:30:00","Sáng","Chiều")</f>
        <v>Chiều</v>
      </c>
      <c r="J455" s="53" t="s">
        <v>37</v>
      </c>
      <c r="K455" s="53" t="s">
        <v>103</v>
      </c>
      <c r="L455" s="54">
        <f t="shared" ref="L455:L502" si="47">DATE(YEAR(B455),MONTH(B455),DAY(B455))</f>
        <v>43797</v>
      </c>
      <c r="M455" s="54"/>
    </row>
    <row r="456" spans="1:13" s="47" customFormat="1" ht="13.8" x14ac:dyDescent="0.3">
      <c r="A456" s="1" t="s">
        <v>47</v>
      </c>
      <c r="B456" s="3">
        <v>43797.33353009259</v>
      </c>
      <c r="C456" s="2" t="s">
        <v>37</v>
      </c>
      <c r="D456" s="2" t="str">
        <f t="shared" si="42"/>
        <v>NV126</v>
      </c>
      <c r="E456" s="2" t="s">
        <v>0</v>
      </c>
      <c r="F456" s="2" t="str">
        <f t="shared" si="43"/>
        <v>NV12643797VàoSáng</v>
      </c>
      <c r="G456" s="52" t="str">
        <f t="shared" si="44"/>
        <v>08:00:17</v>
      </c>
      <c r="H456" s="53" t="str">
        <f t="shared" si="45"/>
        <v>Vào</v>
      </c>
      <c r="I456" s="53" t="str">
        <f t="shared" si="46"/>
        <v>Sáng</v>
      </c>
      <c r="J456" s="53" t="s">
        <v>39</v>
      </c>
      <c r="K456" s="53" t="s">
        <v>102</v>
      </c>
      <c r="L456" s="54">
        <f t="shared" si="47"/>
        <v>43797</v>
      </c>
      <c r="M456" s="54"/>
    </row>
    <row r="457" spans="1:13" s="47" customFormat="1" ht="13.8" x14ac:dyDescent="0.3">
      <c r="A457" s="1" t="s">
        <v>47</v>
      </c>
      <c r="B457" s="3">
        <v>43796.747361111113</v>
      </c>
      <c r="C457" s="2" t="s">
        <v>37</v>
      </c>
      <c r="D457" s="2" t="str">
        <f t="shared" si="42"/>
        <v>NV126</v>
      </c>
      <c r="E457" s="2" t="s">
        <v>0</v>
      </c>
      <c r="F457" s="2" t="str">
        <f t="shared" si="43"/>
        <v>NV12643796RaChiều</v>
      </c>
      <c r="G457" s="52" t="str">
        <f t="shared" si="44"/>
        <v>17:56:12</v>
      </c>
      <c r="H457" s="53" t="str">
        <f t="shared" si="45"/>
        <v>Ra</v>
      </c>
      <c r="I457" s="53" t="str">
        <f t="shared" si="46"/>
        <v>Chiều</v>
      </c>
      <c r="J457" s="53" t="s">
        <v>37</v>
      </c>
      <c r="K457" s="53" t="s">
        <v>103</v>
      </c>
      <c r="L457" s="54">
        <f t="shared" si="47"/>
        <v>43796</v>
      </c>
      <c r="M457" s="54"/>
    </row>
    <row r="458" spans="1:13" s="47" customFormat="1" ht="13.8" x14ac:dyDescent="0.3">
      <c r="A458" s="1" t="s">
        <v>47</v>
      </c>
      <c r="B458" s="3">
        <v>43796.331354166665</v>
      </c>
      <c r="C458" s="2" t="s">
        <v>37</v>
      </c>
      <c r="D458" s="2" t="str">
        <f t="shared" si="42"/>
        <v>NV126</v>
      </c>
      <c r="E458" s="2" t="s">
        <v>0</v>
      </c>
      <c r="F458" s="2" t="str">
        <f t="shared" si="43"/>
        <v>NV12643796VàoSáng</v>
      </c>
      <c r="G458" s="52" t="str">
        <f t="shared" si="44"/>
        <v>07:57:09</v>
      </c>
      <c r="H458" s="53" t="str">
        <f t="shared" si="45"/>
        <v>Vào</v>
      </c>
      <c r="I458" s="53" t="str">
        <f t="shared" si="46"/>
        <v>Sáng</v>
      </c>
      <c r="J458" s="53" t="s">
        <v>39</v>
      </c>
      <c r="K458" s="53" t="s">
        <v>102</v>
      </c>
      <c r="L458" s="54">
        <f t="shared" si="47"/>
        <v>43796</v>
      </c>
      <c r="M458" s="54"/>
    </row>
    <row r="459" spans="1:13" s="47" customFormat="1" ht="13.8" x14ac:dyDescent="0.3">
      <c r="A459" s="1" t="s">
        <v>47</v>
      </c>
      <c r="B459" s="3">
        <v>43795.731909722221</v>
      </c>
      <c r="C459" s="2" t="s">
        <v>37</v>
      </c>
      <c r="D459" s="2" t="str">
        <f t="shared" si="42"/>
        <v>NV126</v>
      </c>
      <c r="E459" s="2" t="s">
        <v>0</v>
      </c>
      <c r="F459" s="2" t="str">
        <f t="shared" si="43"/>
        <v>NV12643795RaChiều</v>
      </c>
      <c r="G459" s="52" t="str">
        <f t="shared" si="44"/>
        <v>17:33:57</v>
      </c>
      <c r="H459" s="53" t="str">
        <f t="shared" si="45"/>
        <v>Ra</v>
      </c>
      <c r="I459" s="53" t="str">
        <f t="shared" si="46"/>
        <v>Chiều</v>
      </c>
      <c r="J459" s="53" t="s">
        <v>37</v>
      </c>
      <c r="K459" s="53" t="s">
        <v>103</v>
      </c>
      <c r="L459" s="54">
        <f t="shared" si="47"/>
        <v>43795</v>
      </c>
      <c r="M459" s="54"/>
    </row>
    <row r="460" spans="1:13" s="47" customFormat="1" ht="13.8" x14ac:dyDescent="0.3">
      <c r="A460" s="1" t="s">
        <v>47</v>
      </c>
      <c r="B460" s="3">
        <v>43795.332523148143</v>
      </c>
      <c r="C460" s="2" t="s">
        <v>37</v>
      </c>
      <c r="D460" s="2" t="str">
        <f t="shared" si="42"/>
        <v>NV126</v>
      </c>
      <c r="E460" s="2" t="s">
        <v>0</v>
      </c>
      <c r="F460" s="2" t="str">
        <f t="shared" si="43"/>
        <v>NV12643795VàoSáng</v>
      </c>
      <c r="G460" s="52" t="str">
        <f t="shared" si="44"/>
        <v>07:58:50</v>
      </c>
      <c r="H460" s="53" t="str">
        <f t="shared" si="45"/>
        <v>Vào</v>
      </c>
      <c r="I460" s="53" t="str">
        <f t="shared" si="46"/>
        <v>Sáng</v>
      </c>
      <c r="J460" s="53" t="s">
        <v>39</v>
      </c>
      <c r="K460" s="53" t="s">
        <v>102</v>
      </c>
      <c r="L460" s="54">
        <f t="shared" si="47"/>
        <v>43795</v>
      </c>
      <c r="M460" s="54"/>
    </row>
    <row r="461" spans="1:13" s="47" customFormat="1" ht="13.8" x14ac:dyDescent="0.3">
      <c r="A461" s="1" t="s">
        <v>47</v>
      </c>
      <c r="B461" s="3">
        <v>43794.733194444445</v>
      </c>
      <c r="C461" s="2" t="s">
        <v>37</v>
      </c>
      <c r="D461" s="2" t="str">
        <f t="shared" si="42"/>
        <v>NV126</v>
      </c>
      <c r="E461" s="2" t="s">
        <v>0</v>
      </c>
      <c r="F461" s="2" t="str">
        <f t="shared" si="43"/>
        <v>NV12643794RaChiều</v>
      </c>
      <c r="G461" s="52" t="str">
        <f t="shared" si="44"/>
        <v>17:35:48</v>
      </c>
      <c r="H461" s="53" t="str">
        <f t="shared" si="45"/>
        <v>Ra</v>
      </c>
      <c r="I461" s="53" t="str">
        <f t="shared" si="46"/>
        <v>Chiều</v>
      </c>
      <c r="J461" s="53" t="s">
        <v>37</v>
      </c>
      <c r="K461" s="53" t="s">
        <v>103</v>
      </c>
      <c r="L461" s="54">
        <f t="shared" si="47"/>
        <v>43794</v>
      </c>
      <c r="M461" s="54"/>
    </row>
    <row r="462" spans="1:13" s="47" customFormat="1" ht="13.8" x14ac:dyDescent="0.3">
      <c r="A462" s="1" t="s">
        <v>47</v>
      </c>
      <c r="B462" s="3">
        <v>43794.329907407402</v>
      </c>
      <c r="C462" s="2" t="s">
        <v>37</v>
      </c>
      <c r="D462" s="2" t="str">
        <f t="shared" si="42"/>
        <v>NV126</v>
      </c>
      <c r="E462" s="2" t="s">
        <v>0</v>
      </c>
      <c r="F462" s="2" t="str">
        <f t="shared" si="43"/>
        <v>NV12643794VàoSáng</v>
      </c>
      <c r="G462" s="52" t="str">
        <f t="shared" si="44"/>
        <v>07:55:04</v>
      </c>
      <c r="H462" s="53" t="str">
        <f t="shared" si="45"/>
        <v>Vào</v>
      </c>
      <c r="I462" s="53" t="str">
        <f t="shared" si="46"/>
        <v>Sáng</v>
      </c>
      <c r="J462" s="53" t="s">
        <v>39</v>
      </c>
      <c r="K462" s="53" t="s">
        <v>102</v>
      </c>
      <c r="L462" s="54">
        <f t="shared" si="47"/>
        <v>43794</v>
      </c>
      <c r="M462" s="54"/>
    </row>
    <row r="463" spans="1:13" s="47" customFormat="1" ht="13.8" x14ac:dyDescent="0.3">
      <c r="A463" s="1" t="s">
        <v>47</v>
      </c>
      <c r="B463" s="3">
        <v>43792.731203703705</v>
      </c>
      <c r="C463" s="2" t="s">
        <v>37</v>
      </c>
      <c r="D463" s="2" t="str">
        <f t="shared" si="42"/>
        <v>NV126</v>
      </c>
      <c r="E463" s="2" t="s">
        <v>0</v>
      </c>
      <c r="F463" s="2" t="str">
        <f t="shared" si="43"/>
        <v>NV12643792RaChiều</v>
      </c>
      <c r="G463" s="52" t="str">
        <f t="shared" si="44"/>
        <v>17:32:56</v>
      </c>
      <c r="H463" s="53" t="str">
        <f t="shared" si="45"/>
        <v>Ra</v>
      </c>
      <c r="I463" s="53" t="str">
        <f t="shared" si="46"/>
        <v>Chiều</v>
      </c>
      <c r="J463" s="53" t="s">
        <v>37</v>
      </c>
      <c r="K463" s="53" t="s">
        <v>103</v>
      </c>
      <c r="L463" s="54">
        <f t="shared" si="47"/>
        <v>43792</v>
      </c>
      <c r="M463" s="54"/>
    </row>
    <row r="464" spans="1:13" s="47" customFormat="1" ht="13.8" x14ac:dyDescent="0.3">
      <c r="A464" s="1" t="s">
        <v>47</v>
      </c>
      <c r="B464" s="3">
        <v>43792.326493055552</v>
      </c>
      <c r="C464" s="2" t="s">
        <v>37</v>
      </c>
      <c r="D464" s="2" t="str">
        <f t="shared" si="42"/>
        <v>NV126</v>
      </c>
      <c r="E464" s="2" t="s">
        <v>0</v>
      </c>
      <c r="F464" s="2" t="str">
        <f t="shared" si="43"/>
        <v>NV12643792VàoSáng</v>
      </c>
      <c r="G464" s="52" t="str">
        <f t="shared" si="44"/>
        <v>07:50:09</v>
      </c>
      <c r="H464" s="53" t="str">
        <f t="shared" si="45"/>
        <v>Vào</v>
      </c>
      <c r="I464" s="53" t="str">
        <f t="shared" si="46"/>
        <v>Sáng</v>
      </c>
      <c r="J464" s="53" t="s">
        <v>39</v>
      </c>
      <c r="K464" s="53" t="s">
        <v>102</v>
      </c>
      <c r="L464" s="54">
        <f t="shared" si="47"/>
        <v>43792</v>
      </c>
      <c r="M464" s="54"/>
    </row>
    <row r="465" spans="1:13" s="47" customFormat="1" ht="13.8" x14ac:dyDescent="0.3">
      <c r="A465" s="1" t="s">
        <v>47</v>
      </c>
      <c r="B465" s="3">
        <v>43791.735555555555</v>
      </c>
      <c r="C465" s="2" t="s">
        <v>37</v>
      </c>
      <c r="D465" s="2" t="str">
        <f t="shared" si="42"/>
        <v>NV126</v>
      </c>
      <c r="E465" s="2" t="s">
        <v>0</v>
      </c>
      <c r="F465" s="2" t="str">
        <f t="shared" si="43"/>
        <v>NV12643791RaChiều</v>
      </c>
      <c r="G465" s="52" t="str">
        <f t="shared" si="44"/>
        <v>17:39:12</v>
      </c>
      <c r="H465" s="53" t="str">
        <f t="shared" si="45"/>
        <v>Ra</v>
      </c>
      <c r="I465" s="53" t="str">
        <f t="shared" si="46"/>
        <v>Chiều</v>
      </c>
      <c r="J465" s="53" t="s">
        <v>37</v>
      </c>
      <c r="K465" s="53" t="s">
        <v>103</v>
      </c>
      <c r="L465" s="54">
        <f t="shared" si="47"/>
        <v>43791</v>
      </c>
      <c r="M465" s="54"/>
    </row>
    <row r="466" spans="1:13" s="47" customFormat="1" ht="13.8" x14ac:dyDescent="0.3">
      <c r="A466" s="1" t="s">
        <v>47</v>
      </c>
      <c r="B466" s="3">
        <v>43791.330601851849</v>
      </c>
      <c r="C466" s="2" t="s">
        <v>37</v>
      </c>
      <c r="D466" s="2" t="str">
        <f t="shared" si="42"/>
        <v>NV126</v>
      </c>
      <c r="E466" s="2" t="s">
        <v>0</v>
      </c>
      <c r="F466" s="2" t="str">
        <f t="shared" si="43"/>
        <v>NV12643791VàoSáng</v>
      </c>
      <c r="G466" s="52" t="str">
        <f t="shared" si="44"/>
        <v>07:56:04</v>
      </c>
      <c r="H466" s="53" t="str">
        <f t="shared" si="45"/>
        <v>Vào</v>
      </c>
      <c r="I466" s="53" t="str">
        <f t="shared" si="46"/>
        <v>Sáng</v>
      </c>
      <c r="J466" s="53" t="s">
        <v>39</v>
      </c>
      <c r="K466" s="53" t="s">
        <v>102</v>
      </c>
      <c r="L466" s="54">
        <f t="shared" si="47"/>
        <v>43791</v>
      </c>
      <c r="M466" s="54"/>
    </row>
    <row r="467" spans="1:13" s="47" customFormat="1" ht="13.8" x14ac:dyDescent="0.3">
      <c r="A467" s="1" t="s">
        <v>47</v>
      </c>
      <c r="B467" s="3">
        <v>43790.733506944445</v>
      </c>
      <c r="C467" s="2" t="s">
        <v>37</v>
      </c>
      <c r="D467" s="2" t="str">
        <f t="shared" si="42"/>
        <v>NV126</v>
      </c>
      <c r="E467" s="2" t="s">
        <v>0</v>
      </c>
      <c r="F467" s="2" t="str">
        <f t="shared" si="43"/>
        <v>NV12643790RaChiều</v>
      </c>
      <c r="G467" s="52" t="str">
        <f t="shared" si="44"/>
        <v>17:36:15</v>
      </c>
      <c r="H467" s="53" t="str">
        <f t="shared" si="45"/>
        <v>Ra</v>
      </c>
      <c r="I467" s="53" t="str">
        <f t="shared" si="46"/>
        <v>Chiều</v>
      </c>
      <c r="J467" s="53" t="s">
        <v>37</v>
      </c>
      <c r="K467" s="53" t="s">
        <v>103</v>
      </c>
      <c r="L467" s="54">
        <f t="shared" si="47"/>
        <v>43790</v>
      </c>
      <c r="M467" s="54"/>
    </row>
    <row r="468" spans="1:13" s="47" customFormat="1" ht="13.8" x14ac:dyDescent="0.3">
      <c r="A468" s="1" t="s">
        <v>47</v>
      </c>
      <c r="B468" s="3">
        <v>43790.334421296291</v>
      </c>
      <c r="C468" s="2" t="s">
        <v>37</v>
      </c>
      <c r="D468" s="2" t="str">
        <f t="shared" si="42"/>
        <v>NV126</v>
      </c>
      <c r="E468" s="2" t="s">
        <v>0</v>
      </c>
      <c r="F468" s="2" t="str">
        <f t="shared" si="43"/>
        <v>NV12643790VàoSáng</v>
      </c>
      <c r="G468" s="52" t="str">
        <f t="shared" si="44"/>
        <v>08:01:34</v>
      </c>
      <c r="H468" s="53" t="str">
        <f t="shared" si="45"/>
        <v>Vào</v>
      </c>
      <c r="I468" s="53" t="str">
        <f t="shared" si="46"/>
        <v>Sáng</v>
      </c>
      <c r="J468" s="53" t="s">
        <v>39</v>
      </c>
      <c r="K468" s="53" t="s">
        <v>102</v>
      </c>
      <c r="L468" s="54">
        <f t="shared" si="47"/>
        <v>43790</v>
      </c>
      <c r="M468" s="54"/>
    </row>
    <row r="469" spans="1:13" s="47" customFormat="1" ht="13.8" x14ac:dyDescent="0.3">
      <c r="A469" s="1" t="s">
        <v>47</v>
      </c>
      <c r="B469" s="3">
        <v>43789.731828703705</v>
      </c>
      <c r="C469" s="2" t="s">
        <v>37</v>
      </c>
      <c r="D469" s="2" t="str">
        <f t="shared" si="42"/>
        <v>NV126</v>
      </c>
      <c r="E469" s="2" t="s">
        <v>0</v>
      </c>
      <c r="F469" s="2" t="str">
        <f t="shared" si="43"/>
        <v>NV12643789RaChiều</v>
      </c>
      <c r="G469" s="52" t="str">
        <f t="shared" si="44"/>
        <v>17:33:50</v>
      </c>
      <c r="H469" s="53" t="str">
        <f t="shared" si="45"/>
        <v>Ra</v>
      </c>
      <c r="I469" s="53" t="str">
        <f t="shared" si="46"/>
        <v>Chiều</v>
      </c>
      <c r="J469" s="53" t="s">
        <v>37</v>
      </c>
      <c r="K469" s="53" t="s">
        <v>103</v>
      </c>
      <c r="L469" s="54">
        <f t="shared" si="47"/>
        <v>43789</v>
      </c>
      <c r="M469" s="54"/>
    </row>
    <row r="470" spans="1:13" s="47" customFormat="1" ht="13.8" x14ac:dyDescent="0.3">
      <c r="A470" s="1" t="s">
        <v>47</v>
      </c>
      <c r="B470" s="3">
        <v>43789.374074074076</v>
      </c>
      <c r="C470" s="2" t="s">
        <v>37</v>
      </c>
      <c r="D470" s="2" t="str">
        <f t="shared" si="42"/>
        <v>NV126</v>
      </c>
      <c r="E470" s="2" t="s">
        <v>0</v>
      </c>
      <c r="F470" s="2" t="str">
        <f t="shared" si="43"/>
        <v>NV12643789VàoSáng</v>
      </c>
      <c r="G470" s="52" t="str">
        <f t="shared" si="44"/>
        <v>08:58:40</v>
      </c>
      <c r="H470" s="53" t="str">
        <f t="shared" si="45"/>
        <v>Vào</v>
      </c>
      <c r="I470" s="53" t="str">
        <f t="shared" si="46"/>
        <v>Sáng</v>
      </c>
      <c r="J470" s="53" t="s">
        <v>39</v>
      </c>
      <c r="K470" s="53" t="s">
        <v>102</v>
      </c>
      <c r="L470" s="54">
        <f t="shared" si="47"/>
        <v>43789</v>
      </c>
      <c r="M470" s="54"/>
    </row>
    <row r="471" spans="1:13" s="47" customFormat="1" ht="13.8" x14ac:dyDescent="0.3">
      <c r="A471" s="1" t="s">
        <v>47</v>
      </c>
      <c r="B471" s="3">
        <v>43788.734085648146</v>
      </c>
      <c r="C471" s="2" t="s">
        <v>37</v>
      </c>
      <c r="D471" s="2" t="str">
        <f t="shared" si="42"/>
        <v>NV126</v>
      </c>
      <c r="E471" s="2" t="s">
        <v>0</v>
      </c>
      <c r="F471" s="2" t="str">
        <f t="shared" si="43"/>
        <v>NV12643788RaChiều</v>
      </c>
      <c r="G471" s="52" t="str">
        <f t="shared" si="44"/>
        <v>17:37:05</v>
      </c>
      <c r="H471" s="53" t="str">
        <f t="shared" si="45"/>
        <v>Ra</v>
      </c>
      <c r="I471" s="53" t="str">
        <f t="shared" si="46"/>
        <v>Chiều</v>
      </c>
      <c r="J471" s="53" t="s">
        <v>37</v>
      </c>
      <c r="K471" s="53" t="s">
        <v>103</v>
      </c>
      <c r="L471" s="54">
        <f t="shared" si="47"/>
        <v>43788</v>
      </c>
      <c r="M471" s="54"/>
    </row>
    <row r="472" spans="1:13" s="47" customFormat="1" ht="13.8" x14ac:dyDescent="0.3">
      <c r="A472" s="1" t="s">
        <v>47</v>
      </c>
      <c r="B472" s="3">
        <v>43788.334513888884</v>
      </c>
      <c r="C472" s="2" t="s">
        <v>37</v>
      </c>
      <c r="D472" s="2" t="str">
        <f t="shared" si="42"/>
        <v>NV126</v>
      </c>
      <c r="E472" s="2" t="s">
        <v>0</v>
      </c>
      <c r="F472" s="2" t="str">
        <f t="shared" si="43"/>
        <v>NV12643788VàoSáng</v>
      </c>
      <c r="G472" s="52" t="str">
        <f t="shared" si="44"/>
        <v>08:01:42</v>
      </c>
      <c r="H472" s="53" t="str">
        <f t="shared" si="45"/>
        <v>Vào</v>
      </c>
      <c r="I472" s="53" t="str">
        <f t="shared" si="46"/>
        <v>Sáng</v>
      </c>
      <c r="J472" s="53" t="s">
        <v>39</v>
      </c>
      <c r="K472" s="53" t="s">
        <v>102</v>
      </c>
      <c r="L472" s="54">
        <f t="shared" si="47"/>
        <v>43788</v>
      </c>
      <c r="M472" s="54"/>
    </row>
    <row r="473" spans="1:13" s="47" customFormat="1" ht="13.8" x14ac:dyDescent="0.3">
      <c r="A473" s="1" t="s">
        <v>47</v>
      </c>
      <c r="B473" s="3">
        <v>43787.733402777776</v>
      </c>
      <c r="C473" s="2" t="s">
        <v>37</v>
      </c>
      <c r="D473" s="2" t="str">
        <f t="shared" si="42"/>
        <v>NV126</v>
      </c>
      <c r="E473" s="2" t="s">
        <v>0</v>
      </c>
      <c r="F473" s="2" t="str">
        <f t="shared" si="43"/>
        <v>NV12643787RaChiều</v>
      </c>
      <c r="G473" s="52" t="str">
        <f t="shared" si="44"/>
        <v>17:36:06</v>
      </c>
      <c r="H473" s="53" t="str">
        <f t="shared" si="45"/>
        <v>Ra</v>
      </c>
      <c r="I473" s="53" t="str">
        <f t="shared" si="46"/>
        <v>Chiều</v>
      </c>
      <c r="J473" s="53" t="s">
        <v>37</v>
      </c>
      <c r="K473" s="53" t="s">
        <v>103</v>
      </c>
      <c r="L473" s="54">
        <f t="shared" si="47"/>
        <v>43787</v>
      </c>
      <c r="M473" s="54"/>
    </row>
    <row r="474" spans="1:13" s="47" customFormat="1" ht="13.8" x14ac:dyDescent="0.3">
      <c r="A474" s="1" t="s">
        <v>47</v>
      </c>
      <c r="B474" s="3">
        <v>43787.327777777777</v>
      </c>
      <c r="C474" s="2" t="s">
        <v>37</v>
      </c>
      <c r="D474" s="2" t="str">
        <f t="shared" si="42"/>
        <v>NV126</v>
      </c>
      <c r="E474" s="2" t="s">
        <v>0</v>
      </c>
      <c r="F474" s="2" t="str">
        <f t="shared" si="43"/>
        <v>NV12643787VàoSáng</v>
      </c>
      <c r="G474" s="52" t="str">
        <f t="shared" si="44"/>
        <v>07:52:00</v>
      </c>
      <c r="H474" s="53" t="str">
        <f t="shared" si="45"/>
        <v>Vào</v>
      </c>
      <c r="I474" s="53" t="str">
        <f t="shared" si="46"/>
        <v>Sáng</v>
      </c>
      <c r="J474" s="53" t="s">
        <v>39</v>
      </c>
      <c r="K474" s="53" t="s">
        <v>102</v>
      </c>
      <c r="L474" s="54">
        <f t="shared" si="47"/>
        <v>43787</v>
      </c>
      <c r="M474" s="54"/>
    </row>
    <row r="475" spans="1:13" s="47" customFormat="1" ht="13.8" x14ac:dyDescent="0.3">
      <c r="A475" s="1" t="s">
        <v>47</v>
      </c>
      <c r="B475" s="3">
        <v>43785.734293981477</v>
      </c>
      <c r="C475" s="2" t="s">
        <v>37</v>
      </c>
      <c r="D475" s="2" t="str">
        <f t="shared" si="42"/>
        <v>NV126</v>
      </c>
      <c r="E475" s="2" t="s">
        <v>0</v>
      </c>
      <c r="F475" s="2" t="str">
        <f t="shared" si="43"/>
        <v>NV12643785RaChiều</v>
      </c>
      <c r="G475" s="52" t="str">
        <f t="shared" si="44"/>
        <v>17:37:23</v>
      </c>
      <c r="H475" s="53" t="str">
        <f t="shared" si="45"/>
        <v>Ra</v>
      </c>
      <c r="I475" s="53" t="str">
        <f t="shared" si="46"/>
        <v>Chiều</v>
      </c>
      <c r="J475" s="53" t="s">
        <v>37</v>
      </c>
      <c r="K475" s="53" t="s">
        <v>103</v>
      </c>
      <c r="L475" s="54">
        <f t="shared" si="47"/>
        <v>43785</v>
      </c>
      <c r="M475" s="54"/>
    </row>
    <row r="476" spans="1:13" s="47" customFormat="1" ht="13.8" x14ac:dyDescent="0.3">
      <c r="A476" s="1" t="s">
        <v>47</v>
      </c>
      <c r="B476" s="3">
        <v>43785.321701388886</v>
      </c>
      <c r="C476" s="2" t="s">
        <v>37</v>
      </c>
      <c r="D476" s="2" t="str">
        <f t="shared" si="42"/>
        <v>NV126</v>
      </c>
      <c r="E476" s="2" t="s">
        <v>0</v>
      </c>
      <c r="F476" s="2" t="str">
        <f t="shared" si="43"/>
        <v>NV12643785VàoSáng</v>
      </c>
      <c r="G476" s="52" t="str">
        <f t="shared" si="44"/>
        <v>07:43:15</v>
      </c>
      <c r="H476" s="53" t="str">
        <f t="shared" si="45"/>
        <v>Vào</v>
      </c>
      <c r="I476" s="53" t="str">
        <f t="shared" si="46"/>
        <v>Sáng</v>
      </c>
      <c r="J476" s="53" t="s">
        <v>39</v>
      </c>
      <c r="K476" s="53" t="s">
        <v>102</v>
      </c>
      <c r="L476" s="54">
        <f t="shared" si="47"/>
        <v>43785</v>
      </c>
      <c r="M476" s="54"/>
    </row>
    <row r="477" spans="1:13" s="47" customFormat="1" ht="13.8" x14ac:dyDescent="0.3">
      <c r="A477" s="1" t="s">
        <v>47</v>
      </c>
      <c r="B477" s="3">
        <v>43784.734074074069</v>
      </c>
      <c r="C477" s="2" t="s">
        <v>37</v>
      </c>
      <c r="D477" s="2" t="str">
        <f t="shared" si="42"/>
        <v>NV126</v>
      </c>
      <c r="E477" s="2" t="s">
        <v>0</v>
      </c>
      <c r="F477" s="2" t="str">
        <f t="shared" si="43"/>
        <v>NV12643784RaChiều</v>
      </c>
      <c r="G477" s="52" t="str">
        <f t="shared" si="44"/>
        <v>17:37:04</v>
      </c>
      <c r="H477" s="53" t="str">
        <f t="shared" si="45"/>
        <v>Ra</v>
      </c>
      <c r="I477" s="53" t="str">
        <f t="shared" si="46"/>
        <v>Chiều</v>
      </c>
      <c r="J477" s="53" t="s">
        <v>37</v>
      </c>
      <c r="K477" s="53" t="s">
        <v>103</v>
      </c>
      <c r="L477" s="54">
        <f t="shared" si="47"/>
        <v>43784</v>
      </c>
      <c r="M477" s="54"/>
    </row>
    <row r="478" spans="1:13" s="47" customFormat="1" ht="13.8" x14ac:dyDescent="0.3">
      <c r="A478" s="1" t="s">
        <v>47</v>
      </c>
      <c r="B478" s="3">
        <v>43784.330196759256</v>
      </c>
      <c r="C478" s="2" t="s">
        <v>37</v>
      </c>
      <c r="D478" s="2" t="str">
        <f t="shared" si="42"/>
        <v>NV126</v>
      </c>
      <c r="E478" s="2" t="s">
        <v>0</v>
      </c>
      <c r="F478" s="2" t="str">
        <f t="shared" si="43"/>
        <v>NV12643784VàoSáng</v>
      </c>
      <c r="G478" s="52" t="str">
        <f t="shared" si="44"/>
        <v>07:55:29</v>
      </c>
      <c r="H478" s="53" t="str">
        <f t="shared" si="45"/>
        <v>Vào</v>
      </c>
      <c r="I478" s="53" t="str">
        <f t="shared" si="46"/>
        <v>Sáng</v>
      </c>
      <c r="J478" s="53" t="s">
        <v>39</v>
      </c>
      <c r="K478" s="53" t="s">
        <v>102</v>
      </c>
      <c r="L478" s="54">
        <f t="shared" si="47"/>
        <v>43784</v>
      </c>
      <c r="M478" s="54"/>
    </row>
    <row r="479" spans="1:13" s="47" customFormat="1" ht="13.8" x14ac:dyDescent="0.3">
      <c r="A479" s="1" t="s">
        <v>47</v>
      </c>
      <c r="B479" s="3">
        <v>43783.732800925922</v>
      </c>
      <c r="C479" s="2" t="s">
        <v>37</v>
      </c>
      <c r="D479" s="2" t="str">
        <f t="shared" si="42"/>
        <v>NV126</v>
      </c>
      <c r="E479" s="2" t="s">
        <v>0</v>
      </c>
      <c r="F479" s="2" t="str">
        <f t="shared" si="43"/>
        <v>NV12643783RaChiều</v>
      </c>
      <c r="G479" s="52" t="str">
        <f t="shared" si="44"/>
        <v>17:35:14</v>
      </c>
      <c r="H479" s="53" t="str">
        <f t="shared" si="45"/>
        <v>Ra</v>
      </c>
      <c r="I479" s="53" t="str">
        <f t="shared" si="46"/>
        <v>Chiều</v>
      </c>
      <c r="J479" s="53" t="s">
        <v>37</v>
      </c>
      <c r="K479" s="53" t="s">
        <v>103</v>
      </c>
      <c r="L479" s="54">
        <f t="shared" si="47"/>
        <v>43783</v>
      </c>
      <c r="M479" s="54"/>
    </row>
    <row r="480" spans="1:13" s="47" customFormat="1" ht="13.8" x14ac:dyDescent="0.3">
      <c r="A480" s="1" t="s">
        <v>47</v>
      </c>
      <c r="B480" s="3">
        <v>43783.383125</v>
      </c>
      <c r="C480" s="2" t="s">
        <v>37</v>
      </c>
      <c r="D480" s="2" t="str">
        <f t="shared" si="42"/>
        <v>NV126</v>
      </c>
      <c r="E480" s="2" t="s">
        <v>0</v>
      </c>
      <c r="F480" s="2" t="str">
        <f t="shared" si="43"/>
        <v>NV12643783VàoSáng</v>
      </c>
      <c r="G480" s="52" t="str">
        <f t="shared" si="44"/>
        <v>09:11:42</v>
      </c>
      <c r="H480" s="53" t="str">
        <f t="shared" si="45"/>
        <v>Vào</v>
      </c>
      <c r="I480" s="53" t="str">
        <f t="shared" si="46"/>
        <v>Sáng</v>
      </c>
      <c r="J480" s="53" t="s">
        <v>39</v>
      </c>
      <c r="K480" s="53" t="s">
        <v>102</v>
      </c>
      <c r="L480" s="54">
        <f t="shared" si="47"/>
        <v>43783</v>
      </c>
      <c r="M480" s="54"/>
    </row>
    <row r="481" spans="1:13" s="47" customFormat="1" ht="13.8" x14ac:dyDescent="0.3">
      <c r="A481" s="1" t="s">
        <v>47</v>
      </c>
      <c r="B481" s="3">
        <v>43782.692881944444</v>
      </c>
      <c r="C481" s="2" t="s">
        <v>37</v>
      </c>
      <c r="D481" s="2" t="str">
        <f t="shared" si="42"/>
        <v>NV126</v>
      </c>
      <c r="E481" s="2" t="s">
        <v>0</v>
      </c>
      <c r="F481" s="2" t="str">
        <f t="shared" si="43"/>
        <v>NV12643782RaChiều</v>
      </c>
      <c r="G481" s="52" t="str">
        <f t="shared" si="44"/>
        <v>16:37:45</v>
      </c>
      <c r="H481" s="53" t="str">
        <f t="shared" si="45"/>
        <v>Ra</v>
      </c>
      <c r="I481" s="53" t="str">
        <f t="shared" si="46"/>
        <v>Chiều</v>
      </c>
      <c r="J481" s="53" t="s">
        <v>37</v>
      </c>
      <c r="K481" s="53" t="s">
        <v>103</v>
      </c>
      <c r="L481" s="54">
        <f t="shared" si="47"/>
        <v>43782</v>
      </c>
      <c r="M481" s="54"/>
    </row>
    <row r="482" spans="1:13" s="47" customFormat="1" ht="13.8" x14ac:dyDescent="0.3">
      <c r="A482" s="1" t="s">
        <v>47</v>
      </c>
      <c r="B482" s="3">
        <v>43782.335856481477</v>
      </c>
      <c r="C482" s="2" t="s">
        <v>37</v>
      </c>
      <c r="D482" s="2" t="str">
        <f t="shared" si="42"/>
        <v>NV126</v>
      </c>
      <c r="E482" s="2" t="s">
        <v>0</v>
      </c>
      <c r="F482" s="2" t="str">
        <f t="shared" si="43"/>
        <v>NV12643782VàoSáng</v>
      </c>
      <c r="G482" s="52" t="str">
        <f t="shared" si="44"/>
        <v>08:03:38</v>
      </c>
      <c r="H482" s="53" t="str">
        <f t="shared" si="45"/>
        <v>Vào</v>
      </c>
      <c r="I482" s="53" t="str">
        <f t="shared" si="46"/>
        <v>Sáng</v>
      </c>
      <c r="J482" s="53" t="s">
        <v>39</v>
      </c>
      <c r="K482" s="53" t="s">
        <v>102</v>
      </c>
      <c r="L482" s="54">
        <f t="shared" si="47"/>
        <v>43782</v>
      </c>
      <c r="M482" s="54"/>
    </row>
    <row r="483" spans="1:13" s="47" customFormat="1" ht="13.8" x14ac:dyDescent="0.3">
      <c r="A483" s="1" t="s">
        <v>47</v>
      </c>
      <c r="B483" s="3">
        <v>43781.734027777777</v>
      </c>
      <c r="C483" s="2" t="s">
        <v>37</v>
      </c>
      <c r="D483" s="2" t="str">
        <f t="shared" si="42"/>
        <v>NV126</v>
      </c>
      <c r="E483" s="2" t="s">
        <v>0</v>
      </c>
      <c r="F483" s="2" t="str">
        <f t="shared" si="43"/>
        <v>NV12643781RaChiều</v>
      </c>
      <c r="G483" s="52" t="str">
        <f t="shared" si="44"/>
        <v>17:37:00</v>
      </c>
      <c r="H483" s="53" t="str">
        <f t="shared" si="45"/>
        <v>Ra</v>
      </c>
      <c r="I483" s="53" t="str">
        <f t="shared" si="46"/>
        <v>Chiều</v>
      </c>
      <c r="J483" s="53" t="s">
        <v>37</v>
      </c>
      <c r="K483" s="53" t="s">
        <v>103</v>
      </c>
      <c r="L483" s="54">
        <f t="shared" si="47"/>
        <v>43781</v>
      </c>
      <c r="M483" s="54"/>
    </row>
    <row r="484" spans="1:13" s="47" customFormat="1" ht="13.8" x14ac:dyDescent="0.3">
      <c r="A484" s="1" t="s">
        <v>47</v>
      </c>
      <c r="B484" s="3">
        <v>43781.333680555552</v>
      </c>
      <c r="C484" s="2" t="s">
        <v>37</v>
      </c>
      <c r="D484" s="2" t="str">
        <f t="shared" si="42"/>
        <v>NV126</v>
      </c>
      <c r="E484" s="2" t="s">
        <v>0</v>
      </c>
      <c r="F484" s="2" t="str">
        <f t="shared" si="43"/>
        <v>NV12643781VàoSáng</v>
      </c>
      <c r="G484" s="52" t="str">
        <f t="shared" si="44"/>
        <v>08:00:30</v>
      </c>
      <c r="H484" s="53" t="str">
        <f t="shared" si="45"/>
        <v>Vào</v>
      </c>
      <c r="I484" s="53" t="str">
        <f t="shared" si="46"/>
        <v>Sáng</v>
      </c>
      <c r="J484" s="53" t="s">
        <v>39</v>
      </c>
      <c r="K484" s="53" t="s">
        <v>102</v>
      </c>
      <c r="L484" s="54">
        <f t="shared" si="47"/>
        <v>43781</v>
      </c>
      <c r="M484" s="54"/>
    </row>
    <row r="485" spans="1:13" s="47" customFormat="1" ht="13.8" x14ac:dyDescent="0.3">
      <c r="A485" s="1" t="s">
        <v>47</v>
      </c>
      <c r="B485" s="3">
        <v>43780.731261574074</v>
      </c>
      <c r="C485" s="2" t="s">
        <v>37</v>
      </c>
      <c r="D485" s="2" t="str">
        <f t="shared" si="42"/>
        <v>NV126</v>
      </c>
      <c r="E485" s="2" t="s">
        <v>0</v>
      </c>
      <c r="F485" s="2" t="str">
        <f t="shared" si="43"/>
        <v>NV12643780RaChiều</v>
      </c>
      <c r="G485" s="52" t="str">
        <f t="shared" si="44"/>
        <v>17:33:01</v>
      </c>
      <c r="H485" s="53" t="str">
        <f t="shared" si="45"/>
        <v>Ra</v>
      </c>
      <c r="I485" s="53" t="str">
        <f t="shared" si="46"/>
        <v>Chiều</v>
      </c>
      <c r="J485" s="53" t="s">
        <v>37</v>
      </c>
      <c r="K485" s="53" t="s">
        <v>103</v>
      </c>
      <c r="L485" s="54">
        <f t="shared" si="47"/>
        <v>43780</v>
      </c>
      <c r="M485" s="54"/>
    </row>
    <row r="486" spans="1:13" s="47" customFormat="1" ht="13.8" x14ac:dyDescent="0.3">
      <c r="A486" s="1" t="s">
        <v>47</v>
      </c>
      <c r="B486" s="3">
        <v>43780.329733796294</v>
      </c>
      <c r="C486" s="2" t="s">
        <v>37</v>
      </c>
      <c r="D486" s="2" t="str">
        <f t="shared" si="42"/>
        <v>NV126</v>
      </c>
      <c r="E486" s="2" t="s">
        <v>0</v>
      </c>
      <c r="F486" s="2" t="str">
        <f t="shared" si="43"/>
        <v>NV12643780VàoSáng</v>
      </c>
      <c r="G486" s="52" t="str">
        <f t="shared" si="44"/>
        <v>07:54:49</v>
      </c>
      <c r="H486" s="53" t="str">
        <f t="shared" si="45"/>
        <v>Vào</v>
      </c>
      <c r="I486" s="53" t="str">
        <f t="shared" si="46"/>
        <v>Sáng</v>
      </c>
      <c r="J486" s="53" t="s">
        <v>39</v>
      </c>
      <c r="K486" s="53" t="s">
        <v>102</v>
      </c>
      <c r="L486" s="54">
        <f t="shared" si="47"/>
        <v>43780</v>
      </c>
      <c r="M486" s="54"/>
    </row>
    <row r="487" spans="1:13" s="47" customFormat="1" ht="13.8" x14ac:dyDescent="0.3">
      <c r="A487" s="1" t="s">
        <v>47</v>
      </c>
      <c r="B487" s="3">
        <v>43778.73164351852</v>
      </c>
      <c r="C487" s="2" t="s">
        <v>37</v>
      </c>
      <c r="D487" s="2" t="str">
        <f t="shared" si="42"/>
        <v>NV126</v>
      </c>
      <c r="E487" s="2" t="s">
        <v>0</v>
      </c>
      <c r="F487" s="2" t="str">
        <f t="shared" si="43"/>
        <v>NV12643778RaChiều</v>
      </c>
      <c r="G487" s="52" t="str">
        <f t="shared" si="44"/>
        <v>17:33:34</v>
      </c>
      <c r="H487" s="53" t="str">
        <f t="shared" si="45"/>
        <v>Ra</v>
      </c>
      <c r="I487" s="53" t="str">
        <f t="shared" si="46"/>
        <v>Chiều</v>
      </c>
      <c r="J487" s="53" t="s">
        <v>37</v>
      </c>
      <c r="K487" s="53" t="s">
        <v>103</v>
      </c>
      <c r="L487" s="54">
        <f t="shared" si="47"/>
        <v>43778</v>
      </c>
      <c r="M487" s="54"/>
    </row>
    <row r="488" spans="1:13" s="47" customFormat="1" ht="13.8" x14ac:dyDescent="0.3">
      <c r="A488" s="1" t="s">
        <v>47</v>
      </c>
      <c r="B488" s="3">
        <v>43778.328611111108</v>
      </c>
      <c r="C488" s="2" t="s">
        <v>37</v>
      </c>
      <c r="D488" s="2" t="str">
        <f t="shared" si="42"/>
        <v>NV126</v>
      </c>
      <c r="E488" s="2" t="s">
        <v>0</v>
      </c>
      <c r="F488" s="2" t="str">
        <f t="shared" si="43"/>
        <v>NV12643778VàoSáng</v>
      </c>
      <c r="G488" s="52" t="str">
        <f t="shared" si="44"/>
        <v>07:53:12</v>
      </c>
      <c r="H488" s="53" t="str">
        <f t="shared" si="45"/>
        <v>Vào</v>
      </c>
      <c r="I488" s="53" t="str">
        <f t="shared" si="46"/>
        <v>Sáng</v>
      </c>
      <c r="J488" s="53" t="s">
        <v>39</v>
      </c>
      <c r="K488" s="53" t="s">
        <v>102</v>
      </c>
      <c r="L488" s="54">
        <f t="shared" si="47"/>
        <v>43778</v>
      </c>
      <c r="M488" s="54"/>
    </row>
    <row r="489" spans="1:13" s="47" customFormat="1" ht="13.8" x14ac:dyDescent="0.3">
      <c r="A489" s="1" t="s">
        <v>47</v>
      </c>
      <c r="B489" s="3">
        <v>43777.732245370367</v>
      </c>
      <c r="C489" s="2" t="s">
        <v>37</v>
      </c>
      <c r="D489" s="2" t="str">
        <f t="shared" si="42"/>
        <v>NV126</v>
      </c>
      <c r="E489" s="2" t="s">
        <v>0</v>
      </c>
      <c r="F489" s="2" t="str">
        <f t="shared" si="43"/>
        <v>NV12643777RaChiều</v>
      </c>
      <c r="G489" s="52" t="str">
        <f t="shared" si="44"/>
        <v>17:34:26</v>
      </c>
      <c r="H489" s="53" t="str">
        <f t="shared" si="45"/>
        <v>Ra</v>
      </c>
      <c r="I489" s="53" t="str">
        <f t="shared" si="46"/>
        <v>Chiều</v>
      </c>
      <c r="J489" s="53" t="s">
        <v>37</v>
      </c>
      <c r="K489" s="53" t="s">
        <v>103</v>
      </c>
      <c r="L489" s="54">
        <f t="shared" si="47"/>
        <v>43777</v>
      </c>
      <c r="M489" s="54"/>
    </row>
    <row r="490" spans="1:13" s="47" customFormat="1" ht="13.8" x14ac:dyDescent="0.3">
      <c r="A490" s="1" t="s">
        <v>47</v>
      </c>
      <c r="B490" s="3">
        <v>43777.332453703704</v>
      </c>
      <c r="C490" s="2" t="s">
        <v>37</v>
      </c>
      <c r="D490" s="2" t="str">
        <f t="shared" si="42"/>
        <v>NV126</v>
      </c>
      <c r="E490" s="2" t="s">
        <v>0</v>
      </c>
      <c r="F490" s="2" t="str">
        <f t="shared" si="43"/>
        <v>NV12643777VàoSáng</v>
      </c>
      <c r="G490" s="52" t="str">
        <f t="shared" si="44"/>
        <v>07:58:44</v>
      </c>
      <c r="H490" s="53" t="str">
        <f t="shared" si="45"/>
        <v>Vào</v>
      </c>
      <c r="I490" s="53" t="str">
        <f t="shared" si="46"/>
        <v>Sáng</v>
      </c>
      <c r="J490" s="53" t="s">
        <v>39</v>
      </c>
      <c r="K490" s="53" t="s">
        <v>102</v>
      </c>
      <c r="L490" s="54">
        <f t="shared" si="47"/>
        <v>43777</v>
      </c>
      <c r="M490" s="54"/>
    </row>
    <row r="491" spans="1:13" s="47" customFormat="1" ht="13.8" x14ac:dyDescent="0.3">
      <c r="A491" s="1" t="s">
        <v>47</v>
      </c>
      <c r="B491" s="3">
        <v>43776.730879629627</v>
      </c>
      <c r="C491" s="2" t="s">
        <v>37</v>
      </c>
      <c r="D491" s="2" t="str">
        <f t="shared" si="42"/>
        <v>NV126</v>
      </c>
      <c r="E491" s="2" t="s">
        <v>0</v>
      </c>
      <c r="F491" s="2" t="str">
        <f t="shared" si="43"/>
        <v>NV12643776RaChiều</v>
      </c>
      <c r="G491" s="52" t="str">
        <f t="shared" si="44"/>
        <v>17:32:28</v>
      </c>
      <c r="H491" s="53" t="str">
        <f t="shared" si="45"/>
        <v>Ra</v>
      </c>
      <c r="I491" s="53" t="str">
        <f t="shared" si="46"/>
        <v>Chiều</v>
      </c>
      <c r="J491" s="53" t="s">
        <v>37</v>
      </c>
      <c r="K491" s="53" t="s">
        <v>103</v>
      </c>
      <c r="L491" s="54">
        <f t="shared" si="47"/>
        <v>43776</v>
      </c>
      <c r="M491" s="54"/>
    </row>
    <row r="492" spans="1:13" s="47" customFormat="1" ht="13.8" x14ac:dyDescent="0.3">
      <c r="A492" s="1" t="s">
        <v>47</v>
      </c>
      <c r="B492" s="3">
        <v>43776.331909722219</v>
      </c>
      <c r="C492" s="2" t="s">
        <v>37</v>
      </c>
      <c r="D492" s="2" t="str">
        <f t="shared" si="42"/>
        <v>NV126</v>
      </c>
      <c r="E492" s="2" t="s">
        <v>0</v>
      </c>
      <c r="F492" s="2" t="str">
        <f t="shared" si="43"/>
        <v>NV12643776VàoSáng</v>
      </c>
      <c r="G492" s="52" t="str">
        <f t="shared" si="44"/>
        <v>07:57:57</v>
      </c>
      <c r="H492" s="53" t="str">
        <f t="shared" si="45"/>
        <v>Vào</v>
      </c>
      <c r="I492" s="53" t="str">
        <f t="shared" si="46"/>
        <v>Sáng</v>
      </c>
      <c r="J492" s="53" t="s">
        <v>39</v>
      </c>
      <c r="K492" s="53" t="s">
        <v>102</v>
      </c>
      <c r="L492" s="54">
        <f t="shared" si="47"/>
        <v>43776</v>
      </c>
      <c r="M492" s="54"/>
    </row>
    <row r="493" spans="1:13" s="47" customFormat="1" ht="13.8" x14ac:dyDescent="0.3">
      <c r="A493" s="1" t="s">
        <v>47</v>
      </c>
      <c r="B493" s="3">
        <v>43775.729270833333</v>
      </c>
      <c r="C493" s="2" t="s">
        <v>37</v>
      </c>
      <c r="D493" s="2" t="str">
        <f t="shared" si="42"/>
        <v>NV126</v>
      </c>
      <c r="E493" s="2" t="s">
        <v>0</v>
      </c>
      <c r="F493" s="2" t="str">
        <f t="shared" si="43"/>
        <v>NV12643775RaChiều</v>
      </c>
      <c r="G493" s="52" t="str">
        <f t="shared" si="44"/>
        <v>17:30:09</v>
      </c>
      <c r="H493" s="53" t="str">
        <f t="shared" si="45"/>
        <v>Ra</v>
      </c>
      <c r="I493" s="53" t="str">
        <f t="shared" si="46"/>
        <v>Chiều</v>
      </c>
      <c r="J493" s="53" t="s">
        <v>37</v>
      </c>
      <c r="K493" s="53" t="s">
        <v>103</v>
      </c>
      <c r="L493" s="54">
        <f t="shared" si="47"/>
        <v>43775</v>
      </c>
      <c r="M493" s="54"/>
    </row>
    <row r="494" spans="1:13" s="47" customFormat="1" ht="13.8" x14ac:dyDescent="0.3">
      <c r="A494" s="1" t="s">
        <v>47</v>
      </c>
      <c r="B494" s="3">
        <v>43775.331192129626</v>
      </c>
      <c r="C494" s="2" t="s">
        <v>37</v>
      </c>
      <c r="D494" s="2" t="str">
        <f t="shared" si="42"/>
        <v>NV126</v>
      </c>
      <c r="E494" s="2" t="s">
        <v>0</v>
      </c>
      <c r="F494" s="2" t="str">
        <f t="shared" si="43"/>
        <v>NV12643775VàoSáng</v>
      </c>
      <c r="G494" s="52" t="str">
        <f t="shared" si="44"/>
        <v>07:56:55</v>
      </c>
      <c r="H494" s="53" t="str">
        <f t="shared" si="45"/>
        <v>Vào</v>
      </c>
      <c r="I494" s="53" t="str">
        <f t="shared" si="46"/>
        <v>Sáng</v>
      </c>
      <c r="J494" s="53" t="s">
        <v>39</v>
      </c>
      <c r="K494" s="53" t="s">
        <v>102</v>
      </c>
      <c r="L494" s="54">
        <f t="shared" si="47"/>
        <v>43775</v>
      </c>
      <c r="M494" s="54"/>
    </row>
    <row r="495" spans="1:13" s="47" customFormat="1" ht="13.8" x14ac:dyDescent="0.3">
      <c r="A495" s="1" t="s">
        <v>47</v>
      </c>
      <c r="B495" s="3">
        <v>43774.731296296297</v>
      </c>
      <c r="C495" s="2" t="s">
        <v>37</v>
      </c>
      <c r="D495" s="2" t="str">
        <f t="shared" si="42"/>
        <v>NV126</v>
      </c>
      <c r="E495" s="2" t="s">
        <v>0</v>
      </c>
      <c r="F495" s="2" t="str">
        <f t="shared" si="43"/>
        <v>NV12643774RaChiều</v>
      </c>
      <c r="G495" s="52" t="str">
        <f t="shared" si="44"/>
        <v>17:33:04</v>
      </c>
      <c r="H495" s="53" t="str">
        <f t="shared" si="45"/>
        <v>Ra</v>
      </c>
      <c r="I495" s="53" t="str">
        <f t="shared" si="46"/>
        <v>Chiều</v>
      </c>
      <c r="J495" s="53" t="s">
        <v>37</v>
      </c>
      <c r="K495" s="53" t="s">
        <v>103</v>
      </c>
      <c r="L495" s="54">
        <f t="shared" si="47"/>
        <v>43774</v>
      </c>
      <c r="M495" s="54"/>
    </row>
    <row r="496" spans="1:13" s="47" customFormat="1" ht="13.8" x14ac:dyDescent="0.3">
      <c r="A496" s="1" t="s">
        <v>47</v>
      </c>
      <c r="B496" s="3">
        <v>43774.331655092588</v>
      </c>
      <c r="C496" s="2" t="s">
        <v>37</v>
      </c>
      <c r="D496" s="2" t="str">
        <f t="shared" si="42"/>
        <v>NV126</v>
      </c>
      <c r="E496" s="2" t="s">
        <v>0</v>
      </c>
      <c r="F496" s="2" t="str">
        <f t="shared" si="43"/>
        <v>NV12643774VàoSáng</v>
      </c>
      <c r="G496" s="52" t="str">
        <f t="shared" si="44"/>
        <v>07:57:35</v>
      </c>
      <c r="H496" s="53" t="str">
        <f t="shared" si="45"/>
        <v>Vào</v>
      </c>
      <c r="I496" s="53" t="str">
        <f t="shared" si="46"/>
        <v>Sáng</v>
      </c>
      <c r="J496" s="53" t="s">
        <v>39</v>
      </c>
      <c r="K496" s="53" t="s">
        <v>102</v>
      </c>
      <c r="L496" s="54">
        <f t="shared" si="47"/>
        <v>43774</v>
      </c>
      <c r="M496" s="54"/>
    </row>
    <row r="497" spans="1:13" s="47" customFormat="1" ht="13.8" x14ac:dyDescent="0.3">
      <c r="A497" s="1" t="s">
        <v>47</v>
      </c>
      <c r="B497" s="3">
        <v>43773.731319444443</v>
      </c>
      <c r="C497" s="2" t="s">
        <v>37</v>
      </c>
      <c r="D497" s="2" t="str">
        <f t="shared" si="42"/>
        <v>NV126</v>
      </c>
      <c r="E497" s="2" t="s">
        <v>0</v>
      </c>
      <c r="F497" s="2" t="str">
        <f t="shared" si="43"/>
        <v>NV12643773RaChiều</v>
      </c>
      <c r="G497" s="52" t="str">
        <f t="shared" si="44"/>
        <v>17:33:06</v>
      </c>
      <c r="H497" s="53" t="str">
        <f t="shared" si="45"/>
        <v>Ra</v>
      </c>
      <c r="I497" s="53" t="str">
        <f t="shared" si="46"/>
        <v>Chiều</v>
      </c>
      <c r="J497" s="53" t="s">
        <v>37</v>
      </c>
      <c r="K497" s="53" t="s">
        <v>103</v>
      </c>
      <c r="L497" s="54">
        <f t="shared" si="47"/>
        <v>43773</v>
      </c>
      <c r="M497" s="54"/>
    </row>
    <row r="498" spans="1:13" s="47" customFormat="1" ht="13.8" x14ac:dyDescent="0.3">
      <c r="A498" s="1" t="s">
        <v>47</v>
      </c>
      <c r="B498" s="3">
        <v>43773.332777777774</v>
      </c>
      <c r="C498" s="2" t="s">
        <v>37</v>
      </c>
      <c r="D498" s="2" t="str">
        <f t="shared" si="42"/>
        <v>NV126</v>
      </c>
      <c r="E498" s="2" t="s">
        <v>0</v>
      </c>
      <c r="F498" s="2" t="str">
        <f t="shared" si="43"/>
        <v>NV12643773VàoSáng</v>
      </c>
      <c r="G498" s="52" t="str">
        <f t="shared" si="44"/>
        <v>07:59:12</v>
      </c>
      <c r="H498" s="53" t="str">
        <f t="shared" si="45"/>
        <v>Vào</v>
      </c>
      <c r="I498" s="53" t="str">
        <f t="shared" si="46"/>
        <v>Sáng</v>
      </c>
      <c r="J498" s="53" t="s">
        <v>39</v>
      </c>
      <c r="K498" s="53" t="s">
        <v>102</v>
      </c>
      <c r="L498" s="54">
        <f t="shared" si="47"/>
        <v>43773</v>
      </c>
      <c r="M498" s="54"/>
    </row>
    <row r="499" spans="1:13" s="47" customFormat="1" ht="13.8" x14ac:dyDescent="0.3">
      <c r="A499" s="1" t="s">
        <v>47</v>
      </c>
      <c r="B499" s="3">
        <v>43771.730578703704</v>
      </c>
      <c r="C499" s="2" t="s">
        <v>37</v>
      </c>
      <c r="D499" s="2" t="str">
        <f t="shared" si="42"/>
        <v>NV126</v>
      </c>
      <c r="E499" s="2" t="s">
        <v>0</v>
      </c>
      <c r="F499" s="2" t="str">
        <f t="shared" si="43"/>
        <v>NV12643771RaChiều</v>
      </c>
      <c r="G499" s="52" t="str">
        <f t="shared" si="44"/>
        <v>17:32:02</v>
      </c>
      <c r="H499" s="53" t="str">
        <f t="shared" si="45"/>
        <v>Ra</v>
      </c>
      <c r="I499" s="53" t="str">
        <f t="shared" si="46"/>
        <v>Chiều</v>
      </c>
      <c r="J499" s="53" t="s">
        <v>37</v>
      </c>
      <c r="K499" s="53" t="s">
        <v>103</v>
      </c>
      <c r="L499" s="54">
        <f t="shared" si="47"/>
        <v>43771</v>
      </c>
      <c r="M499" s="54"/>
    </row>
    <row r="500" spans="1:13" s="47" customFormat="1" ht="13.8" x14ac:dyDescent="0.3">
      <c r="A500" s="1" t="s">
        <v>47</v>
      </c>
      <c r="B500" s="3">
        <v>43771.329039351847</v>
      </c>
      <c r="C500" s="2" t="s">
        <v>37</v>
      </c>
      <c r="D500" s="2" t="str">
        <f t="shared" si="42"/>
        <v>NV126</v>
      </c>
      <c r="E500" s="2" t="s">
        <v>0</v>
      </c>
      <c r="F500" s="2" t="str">
        <f t="shared" si="43"/>
        <v>NV12643771VàoSáng</v>
      </c>
      <c r="G500" s="52" t="str">
        <f t="shared" si="44"/>
        <v>07:53:49</v>
      </c>
      <c r="H500" s="53" t="str">
        <f t="shared" si="45"/>
        <v>Vào</v>
      </c>
      <c r="I500" s="53" t="str">
        <f t="shared" si="46"/>
        <v>Sáng</v>
      </c>
      <c r="J500" s="53" t="s">
        <v>39</v>
      </c>
      <c r="K500" s="53" t="s">
        <v>102</v>
      </c>
      <c r="L500" s="54">
        <f t="shared" si="47"/>
        <v>43771</v>
      </c>
      <c r="M500" s="54"/>
    </row>
    <row r="501" spans="1:13" s="47" customFormat="1" ht="13.8" x14ac:dyDescent="0.3">
      <c r="A501" s="1" t="s">
        <v>47</v>
      </c>
      <c r="B501" s="3">
        <v>43770.733449074076</v>
      </c>
      <c r="C501" s="2" t="s">
        <v>37</v>
      </c>
      <c r="D501" s="2" t="str">
        <f t="shared" si="42"/>
        <v>NV126</v>
      </c>
      <c r="E501" s="2" t="s">
        <v>0</v>
      </c>
      <c r="F501" s="2" t="str">
        <f t="shared" si="43"/>
        <v>NV12643770RaChiều</v>
      </c>
      <c r="G501" s="52" t="str">
        <f t="shared" si="44"/>
        <v>17:36:10</v>
      </c>
      <c r="H501" s="53" t="str">
        <f t="shared" si="45"/>
        <v>Ra</v>
      </c>
      <c r="I501" s="53" t="str">
        <f t="shared" si="46"/>
        <v>Chiều</v>
      </c>
      <c r="J501" s="53" t="s">
        <v>37</v>
      </c>
      <c r="K501" s="53" t="s">
        <v>103</v>
      </c>
      <c r="L501" s="54">
        <f t="shared" si="47"/>
        <v>43770</v>
      </c>
      <c r="M501" s="54"/>
    </row>
    <row r="502" spans="1:13" s="47" customFormat="1" ht="13.8" x14ac:dyDescent="0.3">
      <c r="A502" s="1" t="s">
        <v>47</v>
      </c>
      <c r="B502" s="3">
        <v>43770.336527777778</v>
      </c>
      <c r="C502" s="2" t="s">
        <v>37</v>
      </c>
      <c r="D502" s="2" t="str">
        <f t="shared" si="42"/>
        <v>NV126</v>
      </c>
      <c r="E502" s="2" t="s">
        <v>0</v>
      </c>
      <c r="F502" s="2" t="str">
        <f t="shared" si="43"/>
        <v>NV12643770VàoSáng</v>
      </c>
      <c r="G502" s="52" t="str">
        <f t="shared" si="44"/>
        <v>08:04:36</v>
      </c>
      <c r="H502" s="53" t="str">
        <f t="shared" si="45"/>
        <v>Vào</v>
      </c>
      <c r="I502" s="53" t="str">
        <f t="shared" si="46"/>
        <v>Sáng</v>
      </c>
      <c r="J502" s="53" t="s">
        <v>39</v>
      </c>
      <c r="K502" s="53" t="s">
        <v>102</v>
      </c>
      <c r="L502" s="54">
        <f t="shared" si="47"/>
        <v>43770</v>
      </c>
      <c r="M502" s="54"/>
    </row>
    <row r="503" spans="1:13" s="47" customFormat="1" ht="13.8" x14ac:dyDescent="0.3">
      <c r="A503" s="56" t="s">
        <v>38</v>
      </c>
      <c r="B503" s="3">
        <v>43799.548958333333</v>
      </c>
      <c r="C503" s="55" t="s">
        <v>39</v>
      </c>
      <c r="D503" s="2" t="str">
        <f t="shared" si="42"/>
        <v>NV107</v>
      </c>
      <c r="E503" s="55" t="s">
        <v>0</v>
      </c>
      <c r="F503" s="2" t="str">
        <f t="shared" si="43"/>
        <v>NV10743799RaSáng</v>
      </c>
      <c r="G503" s="52" t="str">
        <f t="shared" ref="G503:G505" si="48">TEXT(TIME(HOUR(B503),MINUTE(B503),SECOND(B503)),"hh:mm:ss")</f>
        <v>13:10:30</v>
      </c>
      <c r="H503" s="53" t="str">
        <f t="shared" ref="H503:H505" si="49">IF(AND(I503="Sáng",G503&lt;"11:00:00",G503&gt;="07:00:00"),"Vào",
IF(AND(I503="Sáng",G503&lt;"13:00:00",G503&gt;="11:00:00"),"Ra",
IF(AND(I503="Chiều",G503&lt;"16:00:00",G503&gt;="13:00:00"),"Vào",
IF(AND(I503="Chiều",G503&lt;"20:00:00",G503&gt;="16:00:00"),"Ra"))))</f>
        <v>Vào</v>
      </c>
      <c r="I503" s="53" t="str">
        <f t="shared" ref="I503:I505" si="50">IF(G503&lt;="12:30:00","Sáng","Chiều")</f>
        <v>Chiều</v>
      </c>
      <c r="J503" s="53" t="s">
        <v>37</v>
      </c>
      <c r="K503" s="53" t="s">
        <v>102</v>
      </c>
      <c r="L503" s="54">
        <f t="shared" ref="L503:L505" si="51">DATE(YEAR(B503),MONTH(B503),DAY(B503))</f>
        <v>43799</v>
      </c>
      <c r="M503" s="54" t="s">
        <v>113</v>
      </c>
    </row>
    <row r="504" spans="1:13" s="47" customFormat="1" ht="13.8" x14ac:dyDescent="0.3">
      <c r="A504" s="56" t="s">
        <v>38</v>
      </c>
      <c r="B504" s="3">
        <v>43799.530925925923</v>
      </c>
      <c r="C504" s="55" t="s">
        <v>39</v>
      </c>
      <c r="D504" s="2" t="str">
        <f t="shared" si="42"/>
        <v>NV107</v>
      </c>
      <c r="E504" s="55" t="s">
        <v>0</v>
      </c>
      <c r="F504" s="2" t="str">
        <f t="shared" si="43"/>
        <v>NV10743799FALSEChiều</v>
      </c>
      <c r="G504" s="52" t="str">
        <f t="shared" si="48"/>
        <v>12:44:32</v>
      </c>
      <c r="H504" s="53" t="b">
        <f t="shared" si="49"/>
        <v>0</v>
      </c>
      <c r="I504" s="53" t="str">
        <f t="shared" si="50"/>
        <v>Chiều</v>
      </c>
      <c r="J504" s="53" t="b">
        <v>0</v>
      </c>
      <c r="K504" s="53" t="s">
        <v>103</v>
      </c>
      <c r="L504" s="54">
        <f t="shared" si="51"/>
        <v>43799</v>
      </c>
      <c r="M504" s="54"/>
    </row>
    <row r="505" spans="1:13" s="47" customFormat="1" ht="13.8" x14ac:dyDescent="0.3">
      <c r="A505" s="56" t="s">
        <v>38</v>
      </c>
      <c r="B505" s="3">
        <v>43799.333634259259</v>
      </c>
      <c r="C505" s="55" t="s">
        <v>39</v>
      </c>
      <c r="D505" s="2" t="str">
        <f t="shared" si="42"/>
        <v>NV107</v>
      </c>
      <c r="E505" s="55" t="s">
        <v>0</v>
      </c>
      <c r="F505" s="2" t="str">
        <f t="shared" si="43"/>
        <v>NV10743799VàoSáng</v>
      </c>
      <c r="G505" s="52" t="str">
        <f t="shared" si="48"/>
        <v>08:00:26</v>
      </c>
      <c r="H505" s="53" t="str">
        <f t="shared" si="49"/>
        <v>Vào</v>
      </c>
      <c r="I505" s="53" t="str">
        <f t="shared" si="50"/>
        <v>Sáng</v>
      </c>
      <c r="J505" s="53" t="s">
        <v>39</v>
      </c>
      <c r="K505" s="53" t="s">
        <v>102</v>
      </c>
      <c r="L505" s="54">
        <f t="shared" si="51"/>
        <v>43799</v>
      </c>
      <c r="M505" s="54"/>
    </row>
  </sheetData>
  <autoFilter ref="A5:O505" xr:uid="{184A0443-CD82-474E-9D4A-D23FBABBA90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A8FC0-2BE9-4CCB-B5E0-D15117A1D695}">
  <dimension ref="A1:D16"/>
  <sheetViews>
    <sheetView workbookViewId="0">
      <selection sqref="A1:D16"/>
    </sheetView>
  </sheetViews>
  <sheetFormatPr defaultRowHeight="14.4" x14ac:dyDescent="0.3"/>
  <cols>
    <col min="1" max="1" width="8.21875" bestFit="1" customWidth="1"/>
    <col min="2" max="2" width="48.44140625" bestFit="1" customWidth="1"/>
    <col min="3" max="4" width="23.77734375" customWidth="1"/>
  </cols>
  <sheetData>
    <row r="1" spans="1:4" ht="27.6" x14ac:dyDescent="0.3">
      <c r="A1" s="36" t="s">
        <v>162</v>
      </c>
      <c r="B1" s="36" t="s">
        <v>163</v>
      </c>
      <c r="C1" s="37" t="s">
        <v>164</v>
      </c>
      <c r="D1" s="37" t="s">
        <v>165</v>
      </c>
    </row>
    <row r="2" spans="1:4" x14ac:dyDescent="0.3">
      <c r="A2" s="38" t="s">
        <v>92</v>
      </c>
      <c r="B2" s="38" t="s">
        <v>119</v>
      </c>
      <c r="C2" s="39">
        <v>1</v>
      </c>
      <c r="D2" s="39">
        <v>0</v>
      </c>
    </row>
    <row r="3" spans="1:4" x14ac:dyDescent="0.3">
      <c r="A3" s="38" t="s">
        <v>93</v>
      </c>
      <c r="B3" s="38" t="s">
        <v>122</v>
      </c>
      <c r="C3" s="39">
        <v>0</v>
      </c>
      <c r="D3" s="39">
        <v>0</v>
      </c>
    </row>
    <row r="4" spans="1:4" x14ac:dyDescent="0.3">
      <c r="A4" s="38" t="s">
        <v>126</v>
      </c>
      <c r="B4" s="38" t="s">
        <v>127</v>
      </c>
      <c r="C4" s="39">
        <v>1</v>
      </c>
      <c r="D4" s="39">
        <v>0</v>
      </c>
    </row>
    <row r="5" spans="1:4" x14ac:dyDescent="0.3">
      <c r="A5" s="38" t="s">
        <v>82</v>
      </c>
      <c r="B5" s="38" t="s">
        <v>72</v>
      </c>
      <c r="C5" s="39">
        <v>1</v>
      </c>
      <c r="D5" s="39">
        <v>0</v>
      </c>
    </row>
    <row r="6" spans="1:4" x14ac:dyDescent="0.3">
      <c r="A6" s="38" t="s">
        <v>83</v>
      </c>
      <c r="B6" s="38" t="s">
        <v>73</v>
      </c>
      <c r="C6" s="39">
        <v>0</v>
      </c>
      <c r="D6" s="39">
        <v>1</v>
      </c>
    </row>
    <row r="7" spans="1:4" x14ac:dyDescent="0.3">
      <c r="A7" s="38" t="s">
        <v>84</v>
      </c>
      <c r="B7" s="38" t="s">
        <v>70</v>
      </c>
      <c r="C7" s="39">
        <v>0</v>
      </c>
      <c r="D7" s="39">
        <v>1</v>
      </c>
    </row>
    <row r="8" spans="1:4" x14ac:dyDescent="0.3">
      <c r="A8" s="38" t="s">
        <v>139</v>
      </c>
      <c r="B8" s="38" t="s">
        <v>140</v>
      </c>
      <c r="C8" s="39">
        <v>1</v>
      </c>
      <c r="D8" s="39">
        <v>0</v>
      </c>
    </row>
    <row r="9" spans="1:4" x14ac:dyDescent="0.3">
      <c r="A9" s="38" t="s">
        <v>81</v>
      </c>
      <c r="B9" s="38" t="s">
        <v>71</v>
      </c>
      <c r="C9" s="39">
        <v>0</v>
      </c>
      <c r="D9" s="39">
        <v>1</v>
      </c>
    </row>
    <row r="10" spans="1:4" x14ac:dyDescent="0.3">
      <c r="A10" s="38" t="s">
        <v>137</v>
      </c>
      <c r="B10" s="38" t="s">
        <v>138</v>
      </c>
      <c r="C10" s="39">
        <v>1</v>
      </c>
      <c r="D10" s="39">
        <v>0</v>
      </c>
    </row>
    <row r="11" spans="1:4" x14ac:dyDescent="0.3">
      <c r="A11" s="38" t="s">
        <v>120</v>
      </c>
      <c r="B11" s="38" t="s">
        <v>121</v>
      </c>
      <c r="C11" s="39">
        <v>0.5</v>
      </c>
      <c r="D11" s="39">
        <v>0.5</v>
      </c>
    </row>
    <row r="12" spans="1:4" x14ac:dyDescent="0.3">
      <c r="A12" s="38" t="s">
        <v>123</v>
      </c>
      <c r="B12" s="38" t="s">
        <v>124</v>
      </c>
      <c r="C12" s="39">
        <v>1</v>
      </c>
      <c r="D12" s="39">
        <v>0</v>
      </c>
    </row>
    <row r="13" spans="1:4" x14ac:dyDescent="0.3">
      <c r="A13" s="38" t="s">
        <v>128</v>
      </c>
      <c r="B13" s="38" t="s">
        <v>129</v>
      </c>
      <c r="C13" s="39">
        <v>0.5</v>
      </c>
      <c r="D13" s="39">
        <v>0.5</v>
      </c>
    </row>
    <row r="14" spans="1:4" x14ac:dyDescent="0.3">
      <c r="A14" s="38" t="s">
        <v>131</v>
      </c>
      <c r="B14" s="38" t="s">
        <v>132</v>
      </c>
      <c r="C14" s="39">
        <v>1</v>
      </c>
      <c r="D14" s="39">
        <v>0</v>
      </c>
    </row>
    <row r="15" spans="1:4" x14ac:dyDescent="0.3">
      <c r="A15" s="38" t="s">
        <v>141</v>
      </c>
      <c r="B15" s="38" t="s">
        <v>142</v>
      </c>
      <c r="C15" s="39">
        <v>0.5</v>
      </c>
      <c r="D15" s="39">
        <v>0.5</v>
      </c>
    </row>
    <row r="16" spans="1:4" x14ac:dyDescent="0.3">
      <c r="A16" s="38" t="s">
        <v>134</v>
      </c>
      <c r="B16" s="38" t="s">
        <v>135</v>
      </c>
      <c r="C16" s="39">
        <v>0.5</v>
      </c>
      <c r="D16" s="39">
        <v>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HDSD</vt:lpstr>
      <vt:lpstr>5. Bảng CC</vt:lpstr>
      <vt:lpstr>4. Tổng hợp dữ liệu</vt:lpstr>
      <vt:lpstr>3. Đơn xin nghỉ</vt:lpstr>
      <vt:lpstr>2. Đi muộn về sớm</vt:lpstr>
      <vt:lpstr>1. Vân tay</vt:lpstr>
      <vt:lpstr>Quy đổi công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Duc Hung</dc:creator>
  <cp:lastModifiedBy>Admin</cp:lastModifiedBy>
  <cp:lastPrinted>2020-07-24T01:22:43Z</cp:lastPrinted>
  <dcterms:created xsi:type="dcterms:W3CDTF">2019-11-29T14:24:11Z</dcterms:created>
  <dcterms:modified xsi:type="dcterms:W3CDTF">2020-11-26T16:53:26Z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cdf917eb-d94c-4d0e-a0cf-5747badd5938</vt:lpwstr>
  </property>
</Properties>
</file>