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tp8sk-my.sharepoint.com/personal/trungtran06_02_tp8sk_onmicrosoft_com/Documents/Sàn kế toán/Báo cáo công nợ phải thu_AR Aging/"/>
    </mc:Choice>
  </mc:AlternateContent>
  <xr:revisionPtr revIDLastSave="256" documentId="11_EB993C667E14C210E72FF206011E19475546F62B" xr6:coauthVersionLast="47" xr6:coauthVersionMax="47" xr10:uidLastSave="{FE782DE8-B2ED-4E11-B03C-86E493211AF7}"/>
  <bookViews>
    <workbookView xWindow="-120" yWindow="-120" windowWidth="20730" windowHeight="11310" tabRatio="765" activeTab="4" xr2:uid="{00000000-000D-0000-FFFF-FFFF00000000}"/>
  </bookViews>
  <sheets>
    <sheet name="Chart" sheetId="8" r:id="rId1"/>
    <sheet name="Historical" sheetId="9" r:id="rId2"/>
    <sheet name="Summary" sheetId="1" r:id="rId3"/>
    <sheet name="Summary (2)" sheetId="14" r:id="rId4"/>
    <sheet name="Bacgiang" sheetId="2" r:id="rId5"/>
    <sheet name="Hanoi" sheetId="5" r:id="rId6"/>
    <sheet name="Haiphong" sheetId="6" r:id="rId7"/>
    <sheet name="Quangninh" sheetId="7" r:id="rId8"/>
    <sheet name="Danang" sheetId="10" r:id="rId9"/>
    <sheet name="Payment_term" sheetId="11" r:id="rId10"/>
  </sheets>
  <definedNames>
    <definedName name="Slicer_Month">#N/A</definedName>
    <definedName name="Slicer_Yea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9" l="1"/>
  <c r="E23" i="9"/>
  <c r="F23" i="9"/>
  <c r="C11" i="1"/>
  <c r="G11" i="1"/>
  <c r="M8" i="9" l="1"/>
  <c r="M10" i="9" s="1"/>
  <c r="C2" i="9"/>
  <c r="L8" i="9"/>
  <c r="K8" i="9"/>
  <c r="J8" i="9"/>
  <c r="I8" i="9"/>
  <c r="H8" i="9"/>
  <c r="G8" i="9"/>
  <c r="F8" i="9"/>
  <c r="E8" i="9"/>
  <c r="D8" i="9"/>
  <c r="D14" i="9"/>
  <c r="D15" i="9"/>
  <c r="D16" i="9"/>
  <c r="D17" i="9"/>
  <c r="D18" i="9"/>
  <c r="D19" i="9"/>
  <c r="D20" i="9"/>
  <c r="D21" i="9"/>
  <c r="D22" i="9"/>
  <c r="D11" i="1"/>
  <c r="E11" i="1"/>
  <c r="F11" i="1" s="1"/>
  <c r="H11" i="1" l="1"/>
  <c r="D5" i="5" a="1"/>
  <c r="D5" i="5" s="1"/>
  <c r="E5" i="5" s="1"/>
  <c r="D6" i="5" a="1"/>
  <c r="D6" i="5" s="1"/>
  <c r="E6" i="5" s="1"/>
  <c r="D7" i="5" a="1"/>
  <c r="D7" i="5" s="1"/>
  <c r="E7" i="5" s="1"/>
  <c r="D8" i="5" a="1"/>
  <c r="D8" i="5" s="1"/>
  <c r="E8" i="5" s="1"/>
  <c r="D9" i="5" a="1"/>
  <c r="D9" i="5" s="1"/>
  <c r="E9" i="5" s="1"/>
  <c r="D10" i="5" a="1"/>
  <c r="D10" i="5"/>
  <c r="E10" i="5" s="1"/>
  <c r="D4" i="5" a="1"/>
  <c r="D4" i="5" s="1"/>
  <c r="E4" i="5" s="1"/>
  <c r="D4" i="10" a="1"/>
  <c r="D4" i="10" s="1"/>
  <c r="E4" i="10" s="1"/>
  <c r="D5" i="10" a="1"/>
  <c r="D5" i="10" s="1"/>
  <c r="E5" i="10" s="1"/>
  <c r="D6" i="10" a="1"/>
  <c r="D6" i="10" s="1"/>
  <c r="E6" i="10" s="1"/>
  <c r="D7" i="10" a="1"/>
  <c r="D7" i="10" s="1"/>
  <c r="E7" i="10" s="1"/>
  <c r="D8" i="10" a="1"/>
  <c r="D8" i="10" s="1"/>
  <c r="E8" i="10" s="1"/>
  <c r="D9" i="10" a="1"/>
  <c r="D9" i="10" s="1"/>
  <c r="E9" i="10" s="1"/>
  <c r="D10" i="10" a="1"/>
  <c r="D10" i="10" s="1"/>
  <c r="E10" i="10" s="1"/>
  <c r="D4" i="7" a="1"/>
  <c r="D4" i="7" s="1"/>
  <c r="E4" i="7" s="1"/>
  <c r="D5" i="7" a="1"/>
  <c r="D5" i="7" s="1"/>
  <c r="E5" i="7" s="1"/>
  <c r="D6" i="7" a="1"/>
  <c r="D6" i="7" s="1"/>
  <c r="E6" i="7" s="1"/>
  <c r="D7" i="7" a="1"/>
  <c r="D7" i="7" s="1"/>
  <c r="E7" i="7" s="1"/>
  <c r="D8" i="7" a="1"/>
  <c r="D8" i="7" s="1"/>
  <c r="E8" i="7" s="1"/>
  <c r="D9" i="7" a="1"/>
  <c r="D9" i="7" s="1"/>
  <c r="E9" i="7" s="1"/>
  <c r="D10" i="7" a="1"/>
  <c r="D10" i="7" s="1"/>
  <c r="E10" i="7" s="1"/>
  <c r="D4" i="6" a="1"/>
  <c r="D4" i="6" s="1"/>
  <c r="E4" i="6" s="1"/>
  <c r="D5" i="6" a="1"/>
  <c r="D5" i="6" s="1"/>
  <c r="E5" i="6" s="1"/>
  <c r="I5" i="6" s="1"/>
  <c r="D6" i="6" a="1"/>
  <c r="D6" i="6" s="1"/>
  <c r="E6" i="6" s="1"/>
  <c r="D7" i="6" a="1"/>
  <c r="D7" i="6" s="1"/>
  <c r="E7" i="6" s="1"/>
  <c r="D8" i="6" a="1"/>
  <c r="D8" i="6" s="1"/>
  <c r="E8" i="6" s="1"/>
  <c r="D9" i="6" a="1"/>
  <c r="D9" i="6" s="1"/>
  <c r="E9" i="6" s="1"/>
  <c r="I9" i="6" s="1"/>
  <c r="D10" i="6" a="1"/>
  <c r="D10" i="6" s="1"/>
  <c r="E10" i="6" s="1"/>
  <c r="D4" i="2" a="1"/>
  <c r="D4" i="2" s="1"/>
  <c r="E4" i="2" s="1"/>
  <c r="D5" i="2" a="1"/>
  <c r="D5" i="2" s="1"/>
  <c r="E5" i="2" s="1"/>
  <c r="D6" i="2" a="1"/>
  <c r="D6" i="2" s="1"/>
  <c r="E6" i="2" s="1"/>
  <c r="D7" i="2" a="1"/>
  <c r="D7" i="2" s="1"/>
  <c r="E7" i="2" s="1"/>
  <c r="D8" i="2" a="1"/>
  <c r="D8" i="2" s="1"/>
  <c r="E8" i="2" s="1"/>
  <c r="D9" i="2" a="1"/>
  <c r="D9" i="2" s="1"/>
  <c r="E9" i="2" s="1"/>
  <c r="D10" i="2" a="1"/>
  <c r="D10" i="2" s="1"/>
  <c r="E10" i="2" s="1"/>
  <c r="G2" i="10"/>
  <c r="G2" i="7"/>
  <c r="G2" i="6"/>
  <c r="G2" i="5"/>
  <c r="G2" i="2"/>
  <c r="C2" i="10"/>
  <c r="C2" i="7"/>
  <c r="C2" i="6"/>
  <c r="C2" i="2"/>
  <c r="C2" i="5"/>
  <c r="H4" i="10"/>
  <c r="I4" i="10" s="1"/>
  <c r="H5" i="10"/>
  <c r="H2" i="10" s="1"/>
  <c r="H6" i="10"/>
  <c r="I6" i="10" s="1"/>
  <c r="H7" i="10"/>
  <c r="I7" i="10" s="1"/>
  <c r="H8" i="10"/>
  <c r="I8" i="10" s="1"/>
  <c r="H9" i="10"/>
  <c r="H10" i="10"/>
  <c r="H4" i="7"/>
  <c r="I4" i="7" s="1"/>
  <c r="H5" i="7"/>
  <c r="I5" i="7" s="1"/>
  <c r="H6" i="7"/>
  <c r="I6" i="7" s="1"/>
  <c r="H7" i="7"/>
  <c r="H8" i="7"/>
  <c r="H9" i="7"/>
  <c r="I9" i="7" s="1"/>
  <c r="H10" i="7"/>
  <c r="I10" i="7" s="1"/>
  <c r="H4" i="6"/>
  <c r="H5" i="6"/>
  <c r="H2" i="6" s="1"/>
  <c r="H6" i="6"/>
  <c r="H7" i="6"/>
  <c r="H8" i="6"/>
  <c r="H9" i="6"/>
  <c r="H10" i="6"/>
  <c r="H4" i="5"/>
  <c r="I4" i="5" s="1"/>
  <c r="H5" i="5"/>
  <c r="I5" i="5" s="1"/>
  <c r="H6" i="5"/>
  <c r="I6" i="5" s="1"/>
  <c r="H7" i="5"/>
  <c r="I7" i="5" s="1"/>
  <c r="H8" i="5"/>
  <c r="I8" i="5" s="1"/>
  <c r="H9" i="5"/>
  <c r="H10" i="5"/>
  <c r="H4" i="2"/>
  <c r="I4" i="2" s="1"/>
  <c r="H5" i="2"/>
  <c r="I5" i="2" s="1"/>
  <c r="H6" i="2"/>
  <c r="I6" i="2" s="1"/>
  <c r="H7" i="2"/>
  <c r="I7" i="2" s="1"/>
  <c r="H8" i="2"/>
  <c r="H9" i="2"/>
  <c r="I9" i="2" s="1"/>
  <c r="H10" i="2"/>
  <c r="F22" i="9"/>
  <c r="E22" i="9"/>
  <c r="L10" i="9"/>
  <c r="K10" i="9"/>
  <c r="J10" i="9"/>
  <c r="I10" i="9"/>
  <c r="H10" i="9"/>
  <c r="G10" i="9"/>
  <c r="F10" i="9"/>
  <c r="E10" i="9"/>
  <c r="D10" i="9"/>
  <c r="F21" i="9"/>
  <c r="E21" i="9"/>
  <c r="F20" i="9"/>
  <c r="E20" i="9"/>
  <c r="F19" i="9"/>
  <c r="E19" i="9"/>
  <c r="F18" i="9"/>
  <c r="E18" i="9"/>
  <c r="F17" i="9"/>
  <c r="E17" i="9"/>
  <c r="F16" i="9"/>
  <c r="E16" i="9"/>
  <c r="F15" i="9"/>
  <c r="E15" i="9"/>
  <c r="F14" i="9"/>
  <c r="E14" i="9"/>
  <c r="E2" i="9"/>
  <c r="F2" i="9" s="1"/>
  <c r="G2" i="9" s="1"/>
  <c r="I8" i="7" l="1"/>
  <c r="I7" i="7"/>
  <c r="H2" i="7"/>
  <c r="I10" i="5"/>
  <c r="I9" i="5"/>
  <c r="H2" i="5"/>
  <c r="H2" i="2"/>
  <c r="I8" i="6"/>
  <c r="I4" i="6"/>
  <c r="I10" i="10"/>
  <c r="I7" i="6"/>
  <c r="I9" i="10"/>
  <c r="I5" i="10"/>
  <c r="I10" i="6"/>
  <c r="I6" i="6"/>
  <c r="I8" i="2"/>
  <c r="I10" i="2"/>
  <c r="C15" i="9"/>
  <c r="C17" i="9"/>
  <c r="C14" i="9"/>
  <c r="C16" i="9"/>
  <c r="H2" i="9"/>
  <c r="I2" i="9" s="1"/>
  <c r="J2" i="9" s="1"/>
  <c r="K2" i="9" s="1"/>
  <c r="L2" i="9" s="1"/>
  <c r="C10" i="14"/>
  <c r="G10" i="1"/>
  <c r="G7" i="14"/>
  <c r="C8" i="1"/>
  <c r="G9" i="14"/>
  <c r="G7" i="1"/>
  <c r="G10" i="14"/>
  <c r="C7" i="1"/>
  <c r="C8" i="14"/>
  <c r="G11" i="14"/>
  <c r="G8" i="1"/>
  <c r="C10" i="1"/>
  <c r="C7" i="14"/>
  <c r="C9" i="14"/>
  <c r="G9" i="1"/>
  <c r="G8" i="14"/>
  <c r="C9" i="1"/>
  <c r="C11" i="14"/>
  <c r="C5" i="14" l="1"/>
  <c r="G5" i="14"/>
  <c r="C18" i="9"/>
  <c r="C19" i="9"/>
  <c r="C20" i="9"/>
  <c r="C21" i="9"/>
  <c r="D11" i="14"/>
  <c r="D7" i="14"/>
  <c r="D8" i="1"/>
  <c r="D9" i="1"/>
  <c r="D10" i="1"/>
  <c r="D10" i="14"/>
  <c r="D8" i="14"/>
  <c r="D9" i="14"/>
  <c r="D7" i="1"/>
  <c r="E11" i="14"/>
  <c r="E7" i="14"/>
  <c r="E8" i="1"/>
  <c r="F8" i="1"/>
  <c r="E9" i="1"/>
  <c r="F9" i="1"/>
  <c r="E10" i="1"/>
  <c r="F10" i="1"/>
  <c r="E10" i="14"/>
  <c r="E8" i="14"/>
  <c r="E9" i="14"/>
  <c r="E7" i="1"/>
  <c r="F7" i="1"/>
  <c r="E5" i="14" l="1"/>
  <c r="D5" i="14"/>
  <c r="H9" i="1"/>
  <c r="H10" i="1"/>
  <c r="H8" i="1"/>
  <c r="F10" i="14"/>
  <c r="F8" i="14"/>
  <c r="F7" i="14"/>
  <c r="F9" i="14"/>
  <c r="F11" i="14"/>
  <c r="H11" i="14" l="1"/>
  <c r="H9" i="14"/>
  <c r="F5" i="14"/>
  <c r="H7" i="14"/>
  <c r="H8" i="14"/>
  <c r="H10" i="14"/>
  <c r="G5" i="1"/>
  <c r="C7" i="9" s="1"/>
  <c r="F5" i="1"/>
  <c r="C6" i="9" s="1"/>
  <c r="E5" i="1"/>
  <c r="C5" i="9" s="1"/>
  <c r="D5" i="1"/>
  <c r="C4" i="9" s="1"/>
  <c r="C5" i="1"/>
  <c r="C3" i="9" s="1"/>
  <c r="H7" i="1"/>
  <c r="H5" i="14" l="1"/>
  <c r="H5" i="1"/>
  <c r="C9" i="9" s="1"/>
  <c r="C8" i="9"/>
  <c r="C10" i="9" l="1"/>
  <c r="C23" i="9" s="1"/>
  <c r="C22" i="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<sst xmlns="http://schemas.openxmlformats.org/spreadsheetml/2006/main" count="107" uniqueCount="35">
  <si>
    <t>Customer</t>
  </si>
  <si>
    <t>Payment term</t>
  </si>
  <si>
    <t>Overdue</t>
  </si>
  <si>
    <t>Collection date</t>
  </si>
  <si>
    <t>0-14 days</t>
  </si>
  <si>
    <t>15-30 days</t>
  </si>
  <si>
    <t>31-60 days</t>
  </si>
  <si>
    <t>&gt;60days</t>
  </si>
  <si>
    <t>Balance</t>
  </si>
  <si>
    <t>Date</t>
  </si>
  <si>
    <t>Month</t>
  </si>
  <si>
    <t>Year</t>
  </si>
  <si>
    <t>Rate</t>
  </si>
  <si>
    <t>Bacgiang</t>
  </si>
  <si>
    <t>Hanoi</t>
  </si>
  <si>
    <t>Haiphong</t>
  </si>
  <si>
    <t>Quangninh</t>
  </si>
  <si>
    <t>Danang</t>
  </si>
  <si>
    <t>Cus name</t>
  </si>
  <si>
    <t>Applied date</t>
  </si>
  <si>
    <t>Current</t>
  </si>
  <si>
    <t>Inv No.</t>
  </si>
  <si>
    <t>Inv date</t>
  </si>
  <si>
    <t>Amt (USD)</t>
  </si>
  <si>
    <t>Duedate</t>
  </si>
  <si>
    <t>Collection Amt</t>
  </si>
  <si>
    <t>Remaining Amt</t>
  </si>
  <si>
    <t>Payterm</t>
  </si>
  <si>
    <t>Benchmark</t>
  </si>
  <si>
    <t>&gt;60 days</t>
  </si>
  <si>
    <t>**Current date</t>
  </si>
  <si>
    <t>Total Provision</t>
  </si>
  <si>
    <t>Provision/Total AR</t>
  </si>
  <si>
    <t>Total AR</t>
  </si>
  <si>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</sst>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164" formatCode="&quot;INV&quot;00#"/>
    <numFmt numFmtId="165" formatCode="#&quot; days&quot;"/>
    <numFmt numFmtId="166" formatCode="&quot;0-14 days&quot;"/>
    <numFmt numFmtId="167" formatCode="&quot;15-30 days&quot;"/>
    <numFmt numFmtId="168" formatCode="&quot;&lt;0 day&quot;"/>
    <numFmt numFmtId="169" formatCode="&quot;31-60 days&quot;"/>
    <numFmt numFmtId="170" formatCode="&quot;&gt;60 days&quot;"/>
    <numFmt numFmtId="171" formatCode="dd\-mm\-yy"/>
    <numFmt numFmtId="173" formatCode="_(* #,##0.00_);_(* \(#,##0.00\);_(* &quot;-&quot;_);_(@_)"/>
  </numFmts>
  <fonts count="9"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i/>
      <sz val="11"/>
      <color theme="0" tint="-0.249977111117893"/>
      <name val="Calibri"/>
      <family val="2"/>
      <scheme val="minor"/>
    </font>
    <font>
      <sz val="11"/>
      <color rgb="FFFF0000"/>
      <name val="Calibri"/>
      <family val="2"/>
      <scheme val="minor"/>
    </font>
  </fonts>
  <fills count="9">
    <fill>
      <patternFill patternType="none"/>
    </fill>
    <fill>
      <patternFill patternType="gray125"/>
    </fill>
    <fill>
      <patternFill patternType="solid">
        <fgColor theme="5"/>
        <bgColor indexed="64"/>
      </patternFill>
    </fill>
    <fill>
      <patternFill patternType="solid">
        <fgColor rgb="FF00B05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42" fontId="1" fillId="0" borderId="0" applyFont="0" applyFill="0" applyBorder="0" applyAlignment="0" applyProtection="0"/>
  </cellStyleXfs>
  <cellXfs count="53">
    <xf numFmtId="0" fontId="0" fillId="0" borderId="0" xfId="0"/>
    <xf numFmtId="165" fontId="0" fillId="0" borderId="0" xfId="0" applyNumberFormat="1"/>
    <xf numFmtId="41" fontId="0" fillId="0" borderId="0" xfId="1" applyFont="1"/>
    <xf numFmtId="10" fontId="0" fillId="0" borderId="0" xfId="0" applyNumberFormat="1"/>
    <xf numFmtId="14" fontId="0" fillId="0" borderId="0" xfId="0" applyNumberFormat="1"/>
    <xf numFmtId="0" fontId="2" fillId="3" borderId="0" xfId="0" applyFont="1" applyFill="1"/>
    <xf numFmtId="14" fontId="2" fillId="3" borderId="0" xfId="0" applyNumberFormat="1" applyFont="1" applyFill="1"/>
    <xf numFmtId="166" fontId="4" fillId="0" borderId="0" xfId="0" applyNumberFormat="1" applyFont="1" applyAlignment="1">
      <alignment horizontal="center"/>
    </xf>
    <xf numFmtId="167" fontId="4" fillId="0" borderId="0" xfId="0" applyNumberFormat="1" applyFont="1" applyAlignment="1">
      <alignment horizontal="center"/>
    </xf>
    <xf numFmtId="169" fontId="4" fillId="0" borderId="0" xfId="0" applyNumberFormat="1" applyFont="1" applyAlignment="1">
      <alignment horizontal="center"/>
    </xf>
    <xf numFmtId="170" fontId="4" fillId="0" borderId="0" xfId="0" applyNumberFormat="1" applyFont="1" applyAlignment="1">
      <alignment horizontal="center"/>
    </xf>
    <xf numFmtId="0" fontId="4" fillId="0" borderId="0" xfId="0" applyFont="1"/>
    <xf numFmtId="168" fontId="4" fillId="0" borderId="0" xfId="0" applyNumberFormat="1" applyFont="1" applyAlignment="1">
      <alignment horizontal="center"/>
    </xf>
    <xf numFmtId="0" fontId="5" fillId="0" borderId="0" xfId="0" applyFont="1"/>
    <xf numFmtId="42" fontId="5" fillId="0" borderId="0" xfId="2" applyFont="1" applyFill="1" applyBorder="1"/>
    <xf numFmtId="42" fontId="5" fillId="0" borderId="0" xfId="2" applyFont="1" applyFill="1"/>
    <xf numFmtId="164" fontId="0" fillId="4" borderId="0" xfId="0" applyNumberFormat="1" applyFill="1"/>
    <xf numFmtId="42" fontId="0" fillId="4" borderId="0" xfId="2" applyFont="1" applyFill="1"/>
    <xf numFmtId="171" fontId="0" fillId="0" borderId="0" xfId="1" applyNumberFormat="1" applyFont="1"/>
    <xf numFmtId="171" fontId="0" fillId="4" borderId="0" xfId="0" applyNumberFormat="1" applyFill="1"/>
    <xf numFmtId="0" fontId="3" fillId="5" borderId="0" xfId="0" applyFont="1" applyFill="1"/>
    <xf numFmtId="0" fontId="6" fillId="5" borderId="0" xfId="0" applyFont="1" applyFill="1"/>
    <xf numFmtId="171" fontId="0" fillId="4" borderId="0" xfId="1" applyNumberFormat="1" applyFont="1" applyFill="1"/>
    <xf numFmtId="41" fontId="0" fillId="4" borderId="0" xfId="1" applyFont="1" applyFill="1"/>
    <xf numFmtId="41" fontId="5" fillId="6" borderId="0" xfId="1" applyFont="1" applyFill="1" applyBorder="1" applyAlignment="1">
      <alignment horizontal="center"/>
    </xf>
    <xf numFmtId="41" fontId="5" fillId="6" borderId="0" xfId="1" applyFont="1" applyFill="1"/>
    <xf numFmtId="41" fontId="7" fillId="0" borderId="0" xfId="1" applyFont="1" applyFill="1" applyBorder="1" applyAlignment="1">
      <alignment horizontal="center"/>
    </xf>
    <xf numFmtId="0" fontId="4" fillId="0" borderId="1" xfId="0" applyFont="1" applyBorder="1"/>
    <xf numFmtId="9" fontId="5" fillId="0" borderId="1" xfId="0" applyNumberFormat="1" applyFont="1" applyBorder="1"/>
    <xf numFmtId="41" fontId="5" fillId="0" borderId="1" xfId="1" applyFont="1" applyFill="1" applyBorder="1"/>
    <xf numFmtId="41" fontId="4" fillId="0" borderId="1" xfId="1" applyFont="1" applyFill="1" applyBorder="1"/>
    <xf numFmtId="10" fontId="5" fillId="0" borderId="1" xfId="0" applyNumberFormat="1" applyFont="1" applyBorder="1"/>
    <xf numFmtId="14" fontId="4" fillId="4" borderId="1" xfId="0" applyNumberFormat="1" applyFont="1" applyFill="1" applyBorder="1"/>
    <xf numFmtId="16" fontId="5" fillId="4" borderId="0" xfId="0" applyNumberFormat="1" applyFont="1" applyFill="1"/>
    <xf numFmtId="10" fontId="5" fillId="0" borderId="0" xfId="0" applyNumberFormat="1" applyFont="1"/>
    <xf numFmtId="9" fontId="5" fillId="0" borderId="0" xfId="0" applyNumberFormat="1" applyFont="1"/>
    <xf numFmtId="41" fontId="5" fillId="4" borderId="1" xfId="1" applyFont="1" applyFill="1" applyBorder="1"/>
    <xf numFmtId="0" fontId="0" fillId="2" borderId="0" xfId="0" applyFill="1"/>
    <xf numFmtId="14" fontId="4" fillId="7" borderId="1" xfId="0" applyNumberFormat="1" applyFont="1" applyFill="1" applyBorder="1"/>
    <xf numFmtId="41" fontId="0" fillId="0" borderId="0" xfId="1" applyFont="1" applyFill="1"/>
    <xf numFmtId="0" fontId="8" fillId="0" borderId="0" xfId="0" applyFont="1"/>
    <xf numFmtId="173" fontId="5" fillId="0" borderId="1" xfId="1" applyNumberFormat="1" applyFont="1" applyFill="1" applyBorder="1"/>
    <xf numFmtId="173" fontId="5" fillId="4" borderId="1" xfId="1" applyNumberFormat="1" applyFont="1" applyFill="1" applyBorder="1"/>
    <xf numFmtId="0" fontId="4" fillId="0" borderId="2" xfId="0" applyFont="1" applyBorder="1" applyAlignment="1"/>
    <xf numFmtId="0" fontId="4" fillId="0" borderId="3" xfId="0" applyFont="1" applyBorder="1" applyAlignment="1"/>
    <xf numFmtId="0" fontId="5" fillId="0" borderId="1" xfId="0" applyFont="1" applyBorder="1"/>
    <xf numFmtId="0" fontId="3" fillId="0" borderId="1" xfId="0" applyFont="1" applyBorder="1"/>
    <xf numFmtId="0" fontId="0" fillId="8" borderId="0" xfId="0" applyFill="1"/>
    <xf numFmtId="0" fontId="0" fillId="0" borderId="0" xfId="0" applyNumberFormat="1"/>
    <xf numFmtId="0" fontId="5" fillId="0" borderId="0" xfId="0" applyFont="1" applyFill="1"/>
    <xf numFmtId="42" fontId="5" fillId="0" borderId="0" xfId="2" applyNumberFormat="1" applyFont="1" applyFill="1"/>
    <xf numFmtId="0" fontId="5" fillId="0" borderId="0" xfId="0" applyNumberFormat="1" applyFont="1"/>
    <xf numFmtId="14" fontId="0" fillId="8" borderId="0" xfId="0" applyNumberFormat="1" applyFill="1"/>
  </cellXfs>
  <cellStyles count="3">
    <cellStyle name="Comma [0]" xfId="1" builtinId="6"/>
    <cellStyle name="Currency [0]" xfId="2" builtinId="7"/>
    <cellStyle name="Normal" xfId="0" builtinId="0"/>
  </cellStyles>
  <dxfs count="66">
    <dxf>
      <font>
        <b val="0"/>
        <i val="0"/>
        <strike val="0"/>
        <condense val="0"/>
        <extend val="0"/>
        <outline val="0"/>
        <shadow val="0"/>
        <u val="none"/>
        <vertAlign val="baseline"/>
        <sz val="11"/>
        <color theme="1"/>
        <name val="Calibri"/>
        <family val="2"/>
        <scheme val="minor"/>
      </font>
      <numFmt numFmtId="33" formatCode="_(* #,##0_);_(* \(#,##0\);_(* &quot;-&quot;_);_(@_)"/>
      <fill>
        <patternFill patternType="none">
          <fgColor indexed="64"/>
          <bgColor auto="1"/>
        </patternFill>
      </fill>
    </dxf>
    <dxf>
      <numFmt numFmtId="171" formatCode="dd\-mm\-yy"/>
    </dxf>
    <dxf>
      <fill>
        <patternFill patternType="solid">
          <fgColor indexed="64"/>
          <bgColor theme="4" tint="0.59999389629810485"/>
        </patternFill>
      </fill>
    </dxf>
    <dxf>
      <font>
        <b val="0"/>
        <i val="0"/>
        <strike val="0"/>
        <condense val="0"/>
        <extend val="0"/>
        <outline val="0"/>
        <shadow val="0"/>
        <u val="none"/>
        <vertAlign val="baseline"/>
        <sz val="11"/>
        <color theme="1"/>
        <name val="Calibri"/>
        <family val="2"/>
        <scheme val="minor"/>
      </font>
      <numFmt numFmtId="33" formatCode="_(* #,##0_);_(* \(#,##0\);_(* &quot;-&quot;_);_(@_)"/>
      <fill>
        <patternFill patternType="none">
          <fgColor indexed="64"/>
          <bgColor auto="1"/>
        </patternFill>
      </fill>
    </dxf>
    <dxf>
      <numFmt numFmtId="171" formatCode="dd\-mm\-yy"/>
    </dxf>
    <dxf>
      <fill>
        <patternFill patternType="solid">
          <fgColor indexed="64"/>
          <bgColor theme="4" tint="0.59999389629810485"/>
        </patternFill>
      </fill>
    </dxf>
    <dxf>
      <font>
        <b val="0"/>
        <i val="0"/>
        <strike val="0"/>
        <condense val="0"/>
        <extend val="0"/>
        <outline val="0"/>
        <shadow val="0"/>
        <u val="none"/>
        <vertAlign val="baseline"/>
        <sz val="11"/>
        <color theme="1"/>
        <name val="Calibri"/>
        <family val="2"/>
        <scheme val="minor"/>
      </font>
      <numFmt numFmtId="33" formatCode="_(* #,##0_);_(* \(#,##0\);_(* &quot;-&quot;_);_(@_)"/>
      <fill>
        <patternFill patternType="none">
          <fgColor indexed="64"/>
          <bgColor auto="1"/>
        </patternFill>
      </fill>
    </dxf>
    <dxf>
      <numFmt numFmtId="171" formatCode="dd\-mm\-yy"/>
    </dxf>
    <dxf>
      <fill>
        <patternFill patternType="solid">
          <fgColor indexed="64"/>
          <bgColor theme="4" tint="0.59999389629810485"/>
        </patternFill>
      </fill>
    </dxf>
    <dxf>
      <font>
        <b val="0"/>
        <i val="0"/>
        <strike val="0"/>
        <condense val="0"/>
        <extend val="0"/>
        <outline val="0"/>
        <shadow val="0"/>
        <u val="none"/>
        <vertAlign val="baseline"/>
        <sz val="11"/>
        <color theme="1"/>
        <name val="Calibri"/>
        <family val="2"/>
        <scheme val="minor"/>
      </font>
      <numFmt numFmtId="33" formatCode="_(* #,##0_);_(* \(#,##0\);_(* &quot;-&quot;_);_(@_)"/>
      <fill>
        <patternFill patternType="none">
          <fgColor indexed="64"/>
          <bgColor auto="1"/>
        </patternFill>
      </fill>
    </dxf>
    <dxf>
      <numFmt numFmtId="171" formatCode="dd\-mm\-yy"/>
    </dxf>
    <dxf>
      <fill>
        <patternFill patternType="solid">
          <fgColor indexed="64"/>
          <bgColor theme="4" tint="0.59999389629810485"/>
        </patternFill>
      </fill>
    </dxf>
    <dxf>
      <font>
        <b val="0"/>
        <i val="0"/>
        <strike val="0"/>
        <condense val="0"/>
        <extend val="0"/>
        <outline val="0"/>
        <shadow val="0"/>
        <u val="none"/>
        <vertAlign val="baseline"/>
        <sz val="11"/>
        <color theme="1"/>
        <name val="Calibri"/>
        <family val="2"/>
        <scheme val="minor"/>
      </font>
      <numFmt numFmtId="33" formatCode="_(* #,##0_);_(* \(#,##0\);_(* &quot;-&quot;_);_(@_)"/>
      <fill>
        <patternFill patternType="none">
          <fgColor indexed="64"/>
          <bgColor auto="1"/>
        </patternFill>
      </fill>
    </dxf>
    <dxf>
      <numFmt numFmtId="171" formatCode="dd\-mm\-yy"/>
    </dxf>
    <dxf>
      <fill>
        <patternFill patternType="solid">
          <fgColor indexed="64"/>
          <bgColor theme="4" tint="0.59999389629810485"/>
        </patternFill>
      </fill>
    </dxf>
    <dxf>
      <numFmt numFmtId="19" formatCode="dd/mm/yyyy"/>
    </dxf>
    <dxf>
      <numFmt numFmtId="33" formatCode="_(* #,##0_);_(* \(#,##0\);_(* &quot;-&quot;_);_(@_)"/>
    </dxf>
    <dxf>
      <fill>
        <patternFill patternType="solid">
          <fgColor indexed="64"/>
          <bgColor theme="4" tint="0.59999389629810485"/>
        </patternFill>
      </fill>
    </dxf>
    <dxf>
      <font>
        <b val="0"/>
        <i val="0"/>
        <strike val="0"/>
        <condense val="0"/>
        <extend val="0"/>
        <outline val="0"/>
        <shadow val="0"/>
        <u val="none"/>
        <vertAlign val="baseline"/>
        <sz val="11"/>
        <color theme="1"/>
        <name val="Calibri"/>
        <family val="2"/>
        <scheme val="minor"/>
      </font>
      <numFmt numFmtId="171" formatCode="dd\-mm\-yy"/>
      <fill>
        <patternFill patternType="solid">
          <fgColor indexed="64"/>
          <bgColor theme="4" tint="0.59999389629810485"/>
        </patternFill>
      </fill>
    </dxf>
    <dxf>
      <numFmt numFmtId="171" formatCode="dd\-mm\-yy"/>
      <fill>
        <patternFill patternType="solid">
          <fgColor indexed="64"/>
          <bgColor theme="4" tint="0.59999389629810485"/>
        </patternFill>
      </fill>
    </dxf>
    <dxf>
      <numFmt numFmtId="164" formatCode="&quot;INV&quot;00#"/>
      <fill>
        <patternFill patternType="solid">
          <fgColor indexed="64"/>
          <bgColor theme="4" tint="0.59999389629810485"/>
        </patternFill>
      </fill>
    </dxf>
    <dxf>
      <fill>
        <patternFill patternType="solid">
          <fgColor indexed="64"/>
          <bgColor theme="4" tint="0.59999389629810485"/>
        </patternFill>
      </fill>
    </dxf>
    <dxf>
      <numFmt numFmtId="171" formatCode="dd\-mm\-yy"/>
      <fill>
        <patternFill patternType="solid">
          <fgColor indexed="64"/>
          <bgColor theme="4" tint="0.59999389629810485"/>
        </patternFill>
      </fill>
    </dxf>
    <dxf>
      <numFmt numFmtId="171" formatCode="dd\-mm\-yy"/>
      <fill>
        <patternFill patternType="solid">
          <fgColor indexed="64"/>
          <bgColor theme="4" tint="0.59999389629810485"/>
        </patternFill>
      </fill>
    </dxf>
    <dxf>
      <numFmt numFmtId="164" formatCode="&quot;INV&quot;00#"/>
      <fill>
        <patternFill patternType="solid">
          <fgColor indexed="64"/>
          <bgColor theme="4" tint="0.59999389629810485"/>
        </patternFill>
      </fill>
    </dxf>
    <dxf>
      <fill>
        <patternFill patternType="solid">
          <fgColor indexed="64"/>
          <bgColor theme="4" tint="0.59999389629810485"/>
        </patternFill>
      </fill>
    </dxf>
    <dxf>
      <font>
        <b val="0"/>
        <i val="0"/>
        <strike val="0"/>
        <condense val="0"/>
        <extend val="0"/>
        <outline val="0"/>
        <shadow val="0"/>
        <u val="none"/>
        <vertAlign val="baseline"/>
        <sz val="11"/>
        <color theme="1"/>
        <name val="Calibri"/>
        <family val="2"/>
        <scheme val="minor"/>
      </font>
      <numFmt numFmtId="171" formatCode="dd\-mm\-yy"/>
      <fill>
        <patternFill patternType="solid">
          <fgColor indexed="64"/>
          <bgColor theme="4" tint="0.59999389629810485"/>
        </patternFill>
      </fill>
    </dxf>
    <dxf>
      <numFmt numFmtId="171" formatCode="dd\-mm\-yy"/>
      <fill>
        <patternFill patternType="solid">
          <fgColor indexed="64"/>
          <bgColor theme="4" tint="0.59999389629810485"/>
        </patternFill>
      </fill>
    </dxf>
    <dxf>
      <numFmt numFmtId="164" formatCode="&quot;INV&quot;00#"/>
      <fill>
        <patternFill patternType="solid">
          <fgColor indexed="64"/>
          <bgColor theme="4" tint="0.59999389629810485"/>
        </patternFill>
      </fill>
    </dxf>
    <dxf>
      <fill>
        <patternFill patternType="solid">
          <fgColor indexed="64"/>
          <bgColor theme="4" tint="0.59999389629810485"/>
        </patternFill>
      </fill>
    </dxf>
    <dxf>
      <font>
        <b val="0"/>
        <i val="0"/>
        <strike val="0"/>
        <condense val="0"/>
        <extend val="0"/>
        <outline val="0"/>
        <shadow val="0"/>
        <u val="none"/>
        <vertAlign val="baseline"/>
        <sz val="11"/>
        <color theme="1"/>
        <name val="Calibri"/>
        <family val="2"/>
        <scheme val="minor"/>
      </font>
      <numFmt numFmtId="171" formatCode="dd\-mm\-yy"/>
      <fill>
        <patternFill patternType="solid">
          <fgColor indexed="64"/>
          <bgColor theme="4" tint="0.59999389629810485"/>
        </patternFill>
      </fill>
    </dxf>
    <dxf>
      <numFmt numFmtId="171" formatCode="dd\-mm\-yy"/>
      <fill>
        <patternFill patternType="solid">
          <fgColor indexed="64"/>
          <bgColor theme="4" tint="0.59999389629810485"/>
        </patternFill>
      </fill>
    </dxf>
    <dxf>
      <numFmt numFmtId="164" formatCode="&quot;INV&quot;00#"/>
      <fill>
        <patternFill patternType="solid">
          <fgColor indexed="64"/>
          <bgColor theme="4" tint="0.59999389629810485"/>
        </patternFill>
      </fill>
    </dxf>
    <dxf>
      <fill>
        <patternFill patternType="solid">
          <fgColor indexed="64"/>
          <bgColor theme="4" tint="0.59999389629810485"/>
        </patternFill>
      </fill>
    </dxf>
    <dxf>
      <numFmt numFmtId="171" formatCode="dd\-mm\-yy"/>
      <fill>
        <patternFill patternType="solid">
          <fgColor indexed="64"/>
          <bgColor theme="4" tint="0.59999389629810485"/>
        </patternFill>
      </fill>
    </dxf>
    <dxf>
      <numFmt numFmtId="171" formatCode="dd\-mm\-yy"/>
      <fill>
        <patternFill patternType="solid">
          <fgColor indexed="64"/>
          <bgColor theme="4" tint="0.59999389629810485"/>
        </patternFill>
      </fill>
    </dxf>
    <dxf>
      <numFmt numFmtId="164" formatCode="&quot;INV&quot;00#"/>
      <fill>
        <patternFill patternType="solid">
          <fgColor indexed="64"/>
          <bgColor theme="4" tint="0.5999938962981048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border outline="0">
        <left style="thin">
          <color rgb="FFED7D31"/>
        </left>
        <right style="thin">
          <color rgb="FFED7D31"/>
        </right>
        <top style="thin">
          <color rgb="FFED7D31"/>
        </top>
        <bottom style="thin">
          <color rgb="FFED7D31"/>
        </bottom>
      </border>
    </dxf>
    <dxf>
      <font>
        <b val="0"/>
        <i val="0"/>
        <strike val="0"/>
        <condense val="0"/>
        <extend val="0"/>
        <outline val="0"/>
        <shadow val="0"/>
        <u val="none"/>
        <vertAlign val="baseline"/>
        <sz val="11"/>
        <color auto="1"/>
        <name val="Calibri"/>
        <family val="2"/>
        <scheme val="none"/>
      </font>
      <fill>
        <patternFill patternType="none">
          <fgColor rgb="FF000000"/>
          <bgColor rgb="FFFFFFFF"/>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numFmt numFmtId="0" formatCode="General"/>
    </dxf>
    <dxf>
      <font>
        <strike val="0"/>
        <outline val="0"/>
        <shadow val="0"/>
        <u val="none"/>
        <vertAlign val="baseline"/>
        <sz val="11"/>
        <color auto="1"/>
        <name val="Calibri"/>
        <family val="2"/>
        <scheme val="minor"/>
      </font>
      <numFmt numFmtId="0" formatCode="General"/>
    </dxf>
    <dxf>
      <numFmt numFmtId="0" formatCode="General"/>
    </dxf>
    <dxf>
      <font>
        <strike val="0"/>
        <outline val="0"/>
        <shadow val="0"/>
        <u val="none"/>
        <vertAlign val="baseline"/>
        <sz val="11"/>
        <color auto="1"/>
        <name val="Calibri"/>
        <family val="2"/>
        <scheme val="minor"/>
      </font>
      <numFmt numFmtId="0" formatCode="General"/>
    </dxf>
    <dxf>
      <numFmt numFmtId="14" formatCode="0.00%"/>
    </dxf>
    <dxf>
      <font>
        <strike val="0"/>
        <outline val="0"/>
        <shadow val="0"/>
        <u val="none"/>
        <vertAlign val="baseline"/>
        <sz val="11"/>
        <color auto="1"/>
        <name val="Calibri"/>
        <family val="2"/>
        <scheme val="minor"/>
      </font>
      <numFmt numFmtId="13" formatCode="0%"/>
    </dxf>
    <dxf>
      <numFmt numFmtId="14" formatCode="0.00%"/>
    </dxf>
    <dxf>
      <font>
        <strike val="0"/>
        <outline val="0"/>
        <shadow val="0"/>
        <u val="none"/>
        <vertAlign val="baseline"/>
        <sz val="11"/>
        <color auto="1"/>
        <name val="Calibri"/>
        <family val="2"/>
        <scheme val="minor"/>
      </font>
      <numFmt numFmtId="14" formatCode="0.00%"/>
    </dxf>
    <dxf>
      <numFmt numFmtId="21" formatCode="dd\-mmm"/>
    </dxf>
    <dxf>
      <font>
        <strike val="0"/>
        <outline val="0"/>
        <shadow val="0"/>
        <u val="none"/>
        <vertAlign val="baseline"/>
        <sz val="11"/>
        <color auto="1"/>
        <name val="Calibri"/>
        <family val="2"/>
        <scheme val="minor"/>
      </font>
      <numFmt numFmtId="21" formatCode="dd\-mmm"/>
      <fill>
        <patternFill>
          <fgColor indexed="64"/>
          <bgColor theme="4" tint="0.59999389629810485"/>
        </patternFill>
      </fill>
    </dxf>
    <dxf>
      <font>
        <strike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Provision for AR</a:t>
            </a:r>
          </a:p>
        </c:rich>
      </c:tx>
      <c:layout>
        <c:manualLayout>
          <c:xMode val="edge"/>
          <c:yMode val="edge"/>
          <c:x val="3.3784558180227478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Historical!$C$13</c:f>
              <c:strCache>
                <c:ptCount val="1"/>
                <c:pt idx="0">
                  <c:v>Rate</c:v>
                </c:pt>
              </c:strCache>
            </c:strRef>
          </c:tx>
          <c:spPr>
            <a:ln w="25400" cap="rnd">
              <a:solidFill>
                <a:schemeClr val="accent1">
                  <a:alpha val="75000"/>
                </a:schemeClr>
              </a:solidFill>
              <a:round/>
            </a:ln>
            <a:effectLst>
              <a:glow rad="660400">
                <a:schemeClr val="accent1">
                  <a:alpha val="28000"/>
                </a:schemeClr>
              </a:glow>
              <a:outerShdw dir="372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trendline>
            <c:spPr>
              <a:ln w="19050" cap="rnd">
                <a:solidFill>
                  <a:schemeClr val="accent2">
                    <a:lumMod val="40000"/>
                    <a:lumOff val="60000"/>
                  </a:schemeClr>
                </a:solidFill>
                <a:prstDash val="sysDot"/>
              </a:ln>
              <a:effectLst/>
            </c:spPr>
            <c:trendlineType val="linear"/>
            <c:dispRSqr val="0"/>
            <c:dispEq val="0"/>
          </c:trendline>
          <c:cat>
            <c:numRef>
              <c:f>Historical!$B$14:$B$23</c:f>
              <c:numCache>
                <c:formatCode>d\-mmm</c:formatCode>
                <c:ptCount val="10"/>
                <c:pt idx="0">
                  <c:v>45139</c:v>
                </c:pt>
                <c:pt idx="1">
                  <c:v>45146</c:v>
                </c:pt>
                <c:pt idx="2">
                  <c:v>45153</c:v>
                </c:pt>
                <c:pt idx="3">
                  <c:v>45160</c:v>
                </c:pt>
                <c:pt idx="4">
                  <c:v>45167</c:v>
                </c:pt>
                <c:pt idx="5">
                  <c:v>45174</c:v>
                </c:pt>
                <c:pt idx="6">
                  <c:v>45181</c:v>
                </c:pt>
                <c:pt idx="7">
                  <c:v>45188</c:v>
                </c:pt>
                <c:pt idx="8">
                  <c:v>45195</c:v>
                </c:pt>
                <c:pt idx="9">
                  <c:v>45202</c:v>
                </c:pt>
              </c:numCache>
            </c:numRef>
          </c:cat>
          <c:val>
            <c:numRef>
              <c:f>Historical!$C$14:$C$23</c:f>
              <c:numCache>
                <c:formatCode>0.00%</c:formatCode>
                <c:ptCount val="10"/>
                <c:pt idx="0">
                  <c:v>5.5792946257197704E-2</c:v>
                </c:pt>
                <c:pt idx="1">
                  <c:v>5.6561900191938581E-2</c:v>
                </c:pt>
                <c:pt idx="2">
                  <c:v>5.702615163147793E-2</c:v>
                </c:pt>
                <c:pt idx="3">
                  <c:v>0.14725527831094049</c:v>
                </c:pt>
                <c:pt idx="4">
                  <c:v>6.8438099808061426E-2</c:v>
                </c:pt>
                <c:pt idx="5">
                  <c:v>7.0111564299424195E-2</c:v>
                </c:pt>
                <c:pt idx="6">
                  <c:v>7.1350767754318617E-2</c:v>
                </c:pt>
                <c:pt idx="7">
                  <c:v>7.3081813819577734E-2</c:v>
                </c:pt>
                <c:pt idx="8">
                  <c:v>7.8770393474088291E-2</c:v>
                </c:pt>
                <c:pt idx="9">
                  <c:v>5.7660436544242584E-2</c:v>
                </c:pt>
              </c:numCache>
            </c:numRef>
          </c:val>
          <c:smooth val="0"/>
          <c:extLst>
            <c:ext xmlns:c16="http://schemas.microsoft.com/office/drawing/2014/chart" uri="{C3380CC4-5D6E-409C-BE32-E72D297353CC}">
              <c16:uniqueId val="{00000001-66B8-4BDA-81CC-B33715905229}"/>
            </c:ext>
          </c:extLst>
        </c:ser>
        <c:ser>
          <c:idx val="1"/>
          <c:order val="1"/>
          <c:tx>
            <c:v>Benchmark</c:v>
          </c:tx>
          <c:spPr>
            <a:ln w="25400" cap="rnd">
              <a:solidFill>
                <a:srgbClr val="FF0000"/>
              </a:solidFill>
              <a:prstDash val="dashDot"/>
              <a:round/>
              <a:headEnd type="none"/>
            </a:ln>
            <a:effectLst>
              <a:outerShdw blurRad="57150" dist="19050" dir="5400000" sx="79000" sy="79000" algn="ctr" rotWithShape="0">
                <a:srgbClr val="000000">
                  <a:alpha val="63000"/>
                </a:srgbClr>
              </a:outerShdw>
            </a:effectLst>
          </c:spPr>
          <c:marker>
            <c:symbol val="none"/>
          </c:marker>
          <c:val>
            <c:numRef>
              <c:f>Historical!$D$14:$D$23</c:f>
              <c:numCache>
                <c:formatCode>0%</c:formatCode>
                <c:ptCount val="10"/>
                <c:pt idx="0">
                  <c:v>0.1</c:v>
                </c:pt>
                <c:pt idx="1">
                  <c:v>0.1</c:v>
                </c:pt>
                <c:pt idx="2">
                  <c:v>0.1</c:v>
                </c:pt>
                <c:pt idx="3">
                  <c:v>0.1</c:v>
                </c:pt>
                <c:pt idx="4">
                  <c:v>0.1</c:v>
                </c:pt>
                <c:pt idx="5">
                  <c:v>0.1</c:v>
                </c:pt>
                <c:pt idx="6">
                  <c:v>0.1</c:v>
                </c:pt>
                <c:pt idx="7">
                  <c:v>0.1</c:v>
                </c:pt>
                <c:pt idx="8">
                  <c:v>0.1</c:v>
                </c:pt>
                <c:pt idx="9">
                  <c:v>0.1</c:v>
                </c:pt>
              </c:numCache>
            </c:numRef>
          </c:val>
          <c:smooth val="0"/>
          <c:extLst>
            <c:ext xmlns:c16="http://schemas.microsoft.com/office/drawing/2014/chart" uri="{C3380CC4-5D6E-409C-BE32-E72D297353CC}">
              <c16:uniqueId val="{00000004-66B8-4BDA-81CC-B33715905229}"/>
            </c:ext>
          </c:extLst>
        </c:ser>
        <c:dLbls>
          <c:showLegendKey val="0"/>
          <c:showVal val="0"/>
          <c:showCatName val="0"/>
          <c:showSerName val="0"/>
          <c:showPercent val="0"/>
          <c:showBubbleSize val="0"/>
        </c:dLbls>
        <c:smooth val="0"/>
        <c:axId val="1019108848"/>
        <c:axId val="1019111568"/>
      </c:lineChart>
      <c:dateAx>
        <c:axId val="1019108848"/>
        <c:scaling>
          <c:orientation val="minMax"/>
        </c:scaling>
        <c:delete val="0"/>
        <c:axPos val="b"/>
        <c:numFmt formatCode="d\-mmm"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19111568"/>
        <c:crosses val="autoZero"/>
        <c:auto val="1"/>
        <c:lblOffset val="100"/>
        <c:baseTimeUnit val="days"/>
        <c:majorUnit val="7"/>
        <c:majorTimeUnit val="days"/>
      </c:dateAx>
      <c:valAx>
        <c:axId val="101911156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1910884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21430</xdr:colOff>
      <xdr:row>0</xdr:row>
      <xdr:rowOff>57150</xdr:rowOff>
    </xdr:from>
    <xdr:to>
      <xdr:col>13</xdr:col>
      <xdr:colOff>76200</xdr:colOff>
      <xdr:row>19</xdr:row>
      <xdr:rowOff>38100</xdr:rowOff>
    </xdr:to>
    <xdr:grpSp>
      <xdr:nvGrpSpPr>
        <xdr:cNvPr id="2" name="Group 1">
          <a:extLst>
            <a:ext uri="{FF2B5EF4-FFF2-40B4-BE49-F238E27FC236}">
              <a16:creationId xmlns:a16="http://schemas.microsoft.com/office/drawing/2014/main" id="{05369E98-E875-F145-D805-CB56F9ABFEDE}"/>
            </a:ext>
          </a:extLst>
        </xdr:cNvPr>
        <xdr:cNvGrpSpPr/>
      </xdr:nvGrpSpPr>
      <xdr:grpSpPr>
        <a:xfrm>
          <a:off x="21430" y="57150"/>
          <a:ext cx="7979570" cy="3600450"/>
          <a:chOff x="650080" y="285750"/>
          <a:chExt cx="7979570" cy="3600450"/>
        </a:xfrm>
      </xdr:grpSpPr>
      <mc:AlternateContent xmlns:mc="http://schemas.openxmlformats.org/markup-compatibility/2006" xmlns:sle15="http://schemas.microsoft.com/office/drawing/2012/slicer">
        <mc:Choice Requires="sle15">
          <xdr:graphicFrame macro="">
            <xdr:nvGraphicFramePr>
              <xdr:cNvPr id="3" name="Year">
                <a:extLst>
                  <a:ext uri="{FF2B5EF4-FFF2-40B4-BE49-F238E27FC236}">
                    <a16:creationId xmlns:a16="http://schemas.microsoft.com/office/drawing/2014/main" id="{00000000-0008-0000-0000-000003000000}"/>
                  </a:ext>
                </a:extLst>
              </xdr:cNvPr>
              <xdr:cNvGraphicFramePr/>
            </xdr:nvGraphicFramePr>
            <xdr:xfrm>
              <a:off x="650080" y="342900"/>
              <a:ext cx="1828800" cy="1190625"/>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1430" y="114300"/>
                <a:ext cx="1828800" cy="11906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Month">
                <a:extLst>
                  <a:ext uri="{FF2B5EF4-FFF2-40B4-BE49-F238E27FC236}">
                    <a16:creationId xmlns:a16="http://schemas.microsoft.com/office/drawing/2014/main" id="{00000000-0008-0000-0000-000004000000}"/>
                  </a:ext>
                </a:extLst>
              </xdr:cNvPr>
              <xdr:cNvGraphicFramePr/>
            </xdr:nvGraphicFramePr>
            <xdr:xfrm>
              <a:off x="650080" y="1533524"/>
              <a:ext cx="1828800" cy="1381126"/>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21430" y="1304924"/>
                <a:ext cx="1828800" cy="138112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2495550" y="285750"/>
          <a:ext cx="6134100" cy="360045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1000000}" sourceName="Year">
  <extLst>
    <x:ext xmlns:x15="http://schemas.microsoft.com/office/spreadsheetml/2010/11/main" uri="{2F2917AC-EB37-4324-AD4E-5DD8C200BD13}">
      <x15:tableSlicerCache tableId="9"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00000000-0013-0000-FFFF-FFFF02000000}" sourceName="Month">
  <extLst>
    <x:ext xmlns:x15="http://schemas.microsoft.com/office/spreadsheetml/2010/11/main" uri="{2F2917AC-EB37-4324-AD4E-5DD8C200BD13}">
      <x15:tableSlicerCache tableId="9"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0000000-0014-0000-FFFF-FFFF01000000}" cache="Slicer_Year" caption="Year" style="SlicerStyleOther1" rowHeight="241300"/>
  <slicer name="Month" xr10:uid="{00000000-0014-0000-FFFF-FFFF02000000}" cache="Slicer_Month" caption="Month" columnCount="3"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Rateofloss" displayName="Rateofloss" ref="B13:F23" dataDxfId="65">
  <autoFilter ref="B13:F23" xr:uid="{00000000-0009-0000-0100-000009000000}"/>
  <tableColumns count="5">
    <tableColumn id="1" xr3:uid="{00000000-0010-0000-0100-000001000000}" name="Date" totalsRowFunction="custom" dataDxfId="64" totalsRowDxfId="63">
      <totalsRowFormula>#REF!+7</totalsRowFormula>
    </tableColumn>
    <tableColumn id="2" xr3:uid="{00000000-0010-0000-0100-000002000000}" name="Rate" dataDxfId="62" totalsRowDxfId="61">
      <calculatedColumnFormula>HLOOKUP(Rateofloss[[#This Row],[Date]],$C$2:$N$10,9,0)</calculatedColumnFormula>
    </tableColumn>
    <tableColumn id="5" xr3:uid="{441FE1F5-9DA0-4AF6-94F8-5D8467F36A39}" name="Benchmark" dataDxfId="60" totalsRowDxfId="59">
      <calculatedColumnFormula>10%</calculatedColumnFormula>
    </tableColumn>
    <tableColumn id="3" xr3:uid="{00000000-0010-0000-0100-000003000000}" name="Year" dataDxfId="58" totalsRowDxfId="57">
      <calculatedColumnFormula>YEAR(Rateofloss[[#This Row],[Date]])</calculatedColumnFormula>
    </tableColumn>
    <tableColumn id="4" xr3:uid="{00000000-0010-0000-0100-000004000000}" name="Month" dataDxfId="56" totalsRowDxfId="55">
      <calculatedColumnFormula>MONTH(Rateofloss[[#This Row],[Date]])</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357330-1D12-4B41-AA05-9C17C905409A}" name="Summary" displayName="Summary" ref="B6:H11" totalsRowShown="0" dataDxfId="54" tableBorderDxfId="53" dataCellStyle="Currency [0]">
  <autoFilter ref="B6:H11" xr:uid="{D3357330-1D12-4B41-AA05-9C17C905409A}"/>
  <tableColumns count="7">
    <tableColumn id="1" xr3:uid="{37C36DFD-60BE-4EB0-977A-809C371B3CFD}" name="Customer" dataDxfId="52"/>
    <tableColumn id="2" xr3:uid="{990AFA26-58AB-4237-9C11-E96C177D002D}" name="Current" dataDxfId="51" dataCellStyle="Currency [0]">
      <calculatedColumnFormula>SUMIFS(INDIRECT($B7&amp;"[Remaining Amt]"),INDIRECT($B7&amp;"[Overdue]"),"&lt;="&amp;C$4)</calculatedColumnFormula>
    </tableColumn>
    <tableColumn id="3" xr3:uid="{0BE5D8EB-EBAA-49C8-BDD5-97AB10E29DE4}" name="0-14 days" dataDxfId="50" dataCellStyle="Currency [0]">
      <calculatedColumnFormula>SUMIFS(INDIRECT($B7&amp;"[Remaining Amt]"),INDIRECT($B7&amp;"[Overdue]"),"&lt;="&amp;D$4)-C7</calculatedColumnFormula>
    </tableColumn>
    <tableColumn id="4" xr3:uid="{E64629B2-2C21-4D78-A1DE-1B012997AE65}" name="15-30 days" dataDxfId="49" dataCellStyle="Currency [0]">
      <calculatedColumnFormula>SUMIFS(INDIRECT($B7&amp;"[Remaining Amt]"),INDIRECT($B7&amp;"[Overdue]"),"&lt;="&amp;E$4)-SUM($C7:D7)</calculatedColumnFormula>
    </tableColumn>
    <tableColumn id="5" xr3:uid="{05F04B7C-074F-4C00-AA1C-82A6D6D20869}" name="31-60 days" dataDxfId="48" dataCellStyle="Currency [0]">
      <calculatedColumnFormula>SUMIFS(INDIRECT($B7&amp;"[Remaining Amt]"),INDIRECT($B7&amp;"[Overdue]"),"&lt;="&amp;F$4)-SUM($C7:E7)</calculatedColumnFormula>
    </tableColumn>
    <tableColumn id="6" xr3:uid="{C4F6FAFF-BA83-4D8A-9ADA-BA22D6B94EDA}" name="&gt;60 days" dataDxfId="47" dataCellStyle="Currency [0]">
      <calculatedColumnFormula>SUMIFS(INDIRECT($B7&amp;"[Remaining Amt]"),INDIRECT($B7&amp;"[Overdue]"),"&gt;"&amp;G$4)</calculatedColumnFormula>
    </tableColumn>
    <tableColumn id="7" xr3:uid="{19584013-E66E-4DC0-89A8-6CF5611A8FC6}" name="Balance" dataDxfId="46" dataCellStyle="Currency [0]">
      <calculatedColumnFormula>SUM(Summary!$C7:$G7)</calculatedColumnFormula>
    </tableColum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4D2D6E-CC9E-4D9C-AEE5-580D72EE873D}" name="Summary13" displayName="Summary13" ref="B6:H11" totalsRowShown="0" dataDxfId="45" tableBorderDxfId="44" dataCellStyle="Currency [0]">
  <autoFilter ref="B6:H11" xr:uid="{D3357330-1D12-4B41-AA05-9C17C905409A}"/>
  <tableColumns count="7">
    <tableColumn id="1" xr3:uid="{3015DA7B-42CC-41BF-A9B9-D3E844385DE1}" name="Customer" dataDxfId="43"/>
    <tableColumn id="2" xr3:uid="{8641A127-6282-47AA-9DB1-834A255958AB}" name="Current" dataDxfId="42" dataCellStyle="Currency [0]">
      <calculatedColumnFormula>SUMIFS(INDIRECT($B7&amp;"!H:H"),INDIRECT($B7&amp;"!I:I"),"&lt;="&amp;C$4)</calculatedColumnFormula>
    </tableColumn>
    <tableColumn id="3" xr3:uid="{BB834504-C648-42BD-839E-40B3E701D55C}" name="0-14 days" dataDxfId="41" dataCellStyle="Currency [0]">
      <calculatedColumnFormula>SUMIFS(INDIRECT($B7&amp;"!H:H"),INDIRECT($B7&amp;"!i:i"),"&lt;="&amp;D$4)-C7</calculatedColumnFormula>
    </tableColumn>
    <tableColumn id="4" xr3:uid="{865303F2-E95C-49F4-94B6-FB21708B5386}" name="15-30 days" dataDxfId="40" dataCellStyle="Currency [0]">
      <calculatedColumnFormula>SUMIFS(INDIRECT($B7&amp;"!h:h"),INDIRECT($B7&amp;"!i:i"),"&lt;="&amp;E$4)-SUM($C7:D7)</calculatedColumnFormula>
    </tableColumn>
    <tableColumn id="5" xr3:uid="{D3AA051E-7DB2-49B4-9127-81063C9AF340}" name="31-60 days" dataDxfId="39" dataCellStyle="Currency [0]">
      <calculatedColumnFormula>SUMIFS(INDIRECT($B7&amp;"!h:h"),INDIRECT($B7&amp;"!i:i"),"&lt;="&amp;F$4)-SUM($C7:E7)</calculatedColumnFormula>
    </tableColumn>
    <tableColumn id="6" xr3:uid="{1DB18545-461C-4FEB-954E-2ECAA5B01F54}" name="&gt;60days" dataDxfId="38" dataCellStyle="Currency [0]">
      <calculatedColumnFormula>SUMIFS(INDIRECT($B7&amp;"!h:h"),INDIRECT($B7&amp;"!i:i"),"&gt;"&amp;G$4)</calculatedColumnFormula>
    </tableColumn>
    <tableColumn id="7" xr3:uid="{3FBAF751-CD2F-4B9F-95C5-09E612F0B897}" name="Balance" dataDxfId="37" dataCellStyle="Currency [0]">
      <calculatedColumnFormula>SUM('Summary (2)'!$C7:$G7)</calculatedColumnFormula>
    </tableColumn>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acgiang" displayName="Bacgiang" ref="A3:I10" totalsRowShown="0">
  <sortState xmlns:xlrd2="http://schemas.microsoft.com/office/spreadsheetml/2017/richdata2" ref="A4:I10">
    <sortCondition ref="B4:B10"/>
  </sortState>
  <tableColumns count="9">
    <tableColumn id="1" xr3:uid="{00000000-0010-0000-0200-000001000000}" name="Inv No." dataDxfId="36"/>
    <tableColumn id="2" xr3:uid="{00000000-0010-0000-0200-000002000000}" name="Inv date" dataDxfId="35"/>
    <tableColumn id="3" xr3:uid="{00000000-0010-0000-0200-000003000000}" name="Amt (USD)" dataDxfId="14" dataCellStyle="Comma [0]"/>
    <tableColumn id="9" xr3:uid="{F8CCFF1E-CE9B-4A35-B4FF-691E90D5C0E7}" name="Payterm" dataDxfId="12" dataCellStyle="Comma [0]">
      <calculatedColumnFormula array="1">VLOOKUP(B4,_xlfn._xlws.FILTER(payterm[],payterm[Customer]=$G$1),3,1)</calculatedColumnFormula>
    </tableColumn>
    <tableColumn id="4" xr3:uid="{00000000-0010-0000-0200-000004000000}" name="Duedate" dataDxfId="13" dataCellStyle="Comma [0]">
      <calculatedColumnFormula>D4+B4</calculatedColumnFormula>
    </tableColumn>
    <tableColumn id="5" xr3:uid="{00000000-0010-0000-0200-000005000000}" name="Collection date" dataDxfId="34"/>
    <tableColumn id="6" xr3:uid="{00000000-0010-0000-0200-000006000000}" name="Collection Amt" dataDxfId="33" dataCellStyle="Comma [0]">
      <calculatedColumnFormula>Bacgiang[[#This Row],[Amt (USD)]]</calculatedColumnFormula>
    </tableColumn>
    <tableColumn id="7" xr3:uid="{00000000-0010-0000-0200-000007000000}" name="Remaining Amt" dataCellStyle="Comma [0]">
      <calculatedColumnFormula>C4-G4</calculatedColumnFormula>
    </tableColumn>
    <tableColumn id="8" xr3:uid="{00000000-0010-0000-0200-000008000000}" name="Overdue" dataCellStyle="Comma [0]">
      <calculatedColumnFormula>IF(H4&gt;0,Summary!$C$2-E4,0)</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Hanoi" displayName="Hanoi" ref="A3:I10" totalsRowShown="0">
  <sortState xmlns:xlrd2="http://schemas.microsoft.com/office/spreadsheetml/2017/richdata2" ref="A4:I10">
    <sortCondition ref="B4:B10"/>
  </sortState>
  <tableColumns count="9">
    <tableColumn id="1" xr3:uid="{00000000-0010-0000-0300-000001000000}" name="Inv No." dataDxfId="32"/>
    <tableColumn id="2" xr3:uid="{00000000-0010-0000-0300-000002000000}" name="Inv date" dataDxfId="31" dataCellStyle="Comma [0]"/>
    <tableColumn id="3" xr3:uid="{00000000-0010-0000-0300-000003000000}" name="Amt (USD)" dataDxfId="11" dataCellStyle="Comma [0]"/>
    <tableColumn id="9" xr3:uid="{325D505F-DE61-4AD8-A1DB-C9FAD9C1124F}" name="Payterm" dataDxfId="9" dataCellStyle="Comma [0]">
      <calculatedColumnFormula array="1">VLOOKUP(B4,IF($G$1=payterm[Customer],payterm[]),3,1)</calculatedColumnFormula>
    </tableColumn>
    <tableColumn id="4" xr3:uid="{00000000-0010-0000-0300-000004000000}" name="Duedate" dataDxfId="10" dataCellStyle="Comma [0]">
      <calculatedColumnFormula>D4+B4</calculatedColumnFormula>
    </tableColumn>
    <tableColumn id="5" xr3:uid="{00000000-0010-0000-0300-000005000000}" name="Collection date" dataDxfId="30" dataCellStyle="Comma [0]"/>
    <tableColumn id="6" xr3:uid="{00000000-0010-0000-0300-000006000000}" name="Collection Amt" dataDxfId="29" dataCellStyle="Comma [0]"/>
    <tableColumn id="7" xr3:uid="{00000000-0010-0000-0300-000007000000}" name="Remaining Amt" dataCellStyle="Comma [0]">
      <calculatedColumnFormula>C4-G4</calculatedColumnFormula>
    </tableColumn>
    <tableColumn id="8" xr3:uid="{00000000-0010-0000-0300-000008000000}" name="Overdue" dataCellStyle="Comma [0]">
      <calculatedColumnFormula>IF(H4&gt;0,Summary!$C$2-E4,0)</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Haiphong" displayName="Haiphong" ref="A3:I10" totalsRowShown="0">
  <sortState xmlns:xlrd2="http://schemas.microsoft.com/office/spreadsheetml/2017/richdata2" ref="A4:I10">
    <sortCondition ref="B4:B10"/>
  </sortState>
  <tableColumns count="9">
    <tableColumn id="1" xr3:uid="{00000000-0010-0000-0400-000001000000}" name="Inv No." dataDxfId="28"/>
    <tableColumn id="2" xr3:uid="{00000000-0010-0000-0400-000002000000}" name="Inv date" dataDxfId="27" dataCellStyle="Comma [0]"/>
    <tableColumn id="3" xr3:uid="{00000000-0010-0000-0400-000003000000}" name="Amt (USD)" dataDxfId="8" dataCellStyle="Comma [0]"/>
    <tableColumn id="9" xr3:uid="{9EAA5DE1-110C-4B6F-94BD-DE734817F4B0}" name="Payterm" dataDxfId="6" dataCellStyle="Comma [0]">
      <calculatedColumnFormula array="1">VLOOKUP(B4,IF($G$1=payterm[Customer],payterm[]),3,1)</calculatedColumnFormula>
    </tableColumn>
    <tableColumn id="4" xr3:uid="{00000000-0010-0000-0400-000004000000}" name="Duedate" dataDxfId="7" dataCellStyle="Comma [0]">
      <calculatedColumnFormula>D4+B4</calculatedColumnFormula>
    </tableColumn>
    <tableColumn id="5" xr3:uid="{00000000-0010-0000-0400-000005000000}" name="Collection date" dataDxfId="26" dataCellStyle="Comma [0]"/>
    <tableColumn id="6" xr3:uid="{00000000-0010-0000-0400-000006000000}" name="Collection Amt" dataDxfId="25" dataCellStyle="Currency [0]"/>
    <tableColumn id="7" xr3:uid="{00000000-0010-0000-0400-000007000000}" name="Remaining Amt" dataCellStyle="Comma [0]">
      <calculatedColumnFormula>C4-G4</calculatedColumnFormula>
    </tableColumn>
    <tableColumn id="8" xr3:uid="{00000000-0010-0000-0400-000008000000}" name="Overdue" dataCellStyle="Comma [0]">
      <calculatedColumnFormula>IF(H4&gt;0,Summary!$C$2-E4,0)</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Quangninh" displayName="Quangninh" ref="A3:I10" totalsRowShown="0">
  <sortState xmlns:xlrd2="http://schemas.microsoft.com/office/spreadsheetml/2017/richdata2" ref="A4:I10">
    <sortCondition ref="B4:B10"/>
  </sortState>
  <tableColumns count="9">
    <tableColumn id="1" xr3:uid="{00000000-0010-0000-0500-000001000000}" name="Inv No." dataDxfId="24"/>
    <tableColumn id="2" xr3:uid="{00000000-0010-0000-0500-000002000000}" name="Inv date" dataDxfId="23" dataCellStyle="Comma [0]"/>
    <tableColumn id="3" xr3:uid="{00000000-0010-0000-0500-000003000000}" name="Amt (USD)" dataDxfId="5" dataCellStyle="Comma [0]"/>
    <tableColumn id="9" xr3:uid="{6B37F7FF-4820-47A5-83AA-F7418C4384DA}" name="Payterm" dataDxfId="3" dataCellStyle="Comma [0]">
      <calculatedColumnFormula array="1">VLOOKUP(B4,IF($G$1=payterm[Customer],payterm[]),3,1)</calculatedColumnFormula>
    </tableColumn>
    <tableColumn id="4" xr3:uid="{00000000-0010-0000-0500-000004000000}" name="Duedate" dataDxfId="4" dataCellStyle="Comma [0]">
      <calculatedColumnFormula>D4+B4</calculatedColumnFormula>
    </tableColumn>
    <tableColumn id="5" xr3:uid="{00000000-0010-0000-0500-000005000000}" name="Collection date" dataDxfId="22" dataCellStyle="Comma [0]"/>
    <tableColumn id="6" xr3:uid="{00000000-0010-0000-0500-000006000000}" name="Collection Amt" dataDxfId="21" dataCellStyle="Comma [0]"/>
    <tableColumn id="7" xr3:uid="{00000000-0010-0000-0500-000007000000}" name="Remaining Amt" dataCellStyle="Comma [0]">
      <calculatedColumnFormula>C4-G4</calculatedColumnFormula>
    </tableColumn>
    <tableColumn id="8" xr3:uid="{00000000-0010-0000-0500-000008000000}" name="Overdue" dataCellStyle="Comma [0]">
      <calculatedColumnFormula>IF(H4&gt;0,Summary!$C$2-E4,0)</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Danang" displayName="Danang" ref="A3:I10" totalsRowShown="0">
  <tableColumns count="9">
    <tableColumn id="1" xr3:uid="{00000000-0010-0000-0600-000001000000}" name="Inv No." dataDxfId="20"/>
    <tableColumn id="2" xr3:uid="{00000000-0010-0000-0600-000002000000}" name="Inv date" dataDxfId="19" dataCellStyle="Comma [0]"/>
    <tableColumn id="3" xr3:uid="{00000000-0010-0000-0600-000003000000}" name="Amt (USD)" dataDxfId="2" dataCellStyle="Comma [0]"/>
    <tableColumn id="9" xr3:uid="{31C37AE4-330A-4A47-AAFD-12E9E04C358A}" name="Payterm" dataDxfId="0" dataCellStyle="Comma [0]">
      <calculatedColumnFormula array="1">VLOOKUP(B4,IF($G$1=payterm[Customer],payterm[]),3,1)</calculatedColumnFormula>
    </tableColumn>
    <tableColumn id="4" xr3:uid="{00000000-0010-0000-0600-000004000000}" name="Duedate" dataDxfId="1" dataCellStyle="Comma [0]">
      <calculatedColumnFormula>D4+B4</calculatedColumnFormula>
    </tableColumn>
    <tableColumn id="5" xr3:uid="{00000000-0010-0000-0600-000005000000}" name="Collection date" dataDxfId="18" dataCellStyle="Comma [0]"/>
    <tableColumn id="6" xr3:uid="{00000000-0010-0000-0600-000006000000}" name="Collection Amt" dataDxfId="17" dataCellStyle="Comma [0]"/>
    <tableColumn id="7" xr3:uid="{00000000-0010-0000-0600-000007000000}" name="Remaining Amt" dataCellStyle="Comma [0]">
      <calculatedColumnFormula>C4-G4</calculatedColumnFormula>
    </tableColumn>
    <tableColumn id="8" xr3:uid="{00000000-0010-0000-0600-000008000000}" name="Overdue" dataDxfId="16" dataCellStyle="Comma [0]">
      <calculatedColumnFormula>IF(H4&gt;0,Summary!$C$2-E4,0)</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B5CCB5-FC3E-4CEA-BE56-589142D89111}" name="payterm" displayName="payterm" ref="A1:C8" totalsRowShown="0">
  <autoFilter ref="A1:C8" xr:uid="{0EB5CCB5-FC3E-4CEA-BE56-589142D89111}"/>
  <tableColumns count="3">
    <tableColumn id="3" xr3:uid="{1A44F738-2C16-4D5B-A9F7-172664588A48}" name="Applied date" dataDxfId="15"/>
    <tableColumn id="1" xr3:uid="{21F1D100-B1F6-459F-AEC1-FDBC3B1BA250}" name="Customer"/>
    <tableColumn id="2" xr3:uid="{14C8AFCB-9E60-4F9B-A0E1-853338180CFC}" name="Payment ter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showGridLines="0" workbookViewId="0">
      <selection activeCell="O5" sqref="O5"/>
    </sheetView>
  </sheetViews>
  <sheetFormatPr defaultRowHeight="15" x14ac:dyDescent="0.25"/>
  <sheetData/>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23"/>
  <sheetViews>
    <sheetView showGridLines="0" zoomScale="115" zoomScaleNormal="115" workbookViewId="0">
      <selection activeCell="D14" sqref="D14:D23"/>
    </sheetView>
  </sheetViews>
  <sheetFormatPr defaultRowHeight="15" x14ac:dyDescent="0.25"/>
  <cols>
    <col min="1" max="1" width="10.7109375" customWidth="1"/>
    <col min="2" max="2" width="7.85546875" customWidth="1"/>
    <col min="3" max="13" width="11.85546875" bestFit="1" customWidth="1"/>
    <col min="14" max="14" width="2.140625" customWidth="1"/>
    <col min="15" max="15" width="10.7109375" bestFit="1" customWidth="1"/>
  </cols>
  <sheetData>
    <row r="1" spans="1:15" ht="18" customHeight="1" x14ac:dyDescent="0.25">
      <c r="C1" s="40" t="s">
        <v>30</v>
      </c>
    </row>
    <row r="2" spans="1:15" x14ac:dyDescent="0.25">
      <c r="A2" s="46" t="s">
        <v>34</v>
      </c>
      <c r="B2" s="27" t="s">
        <v>12</v>
      </c>
      <c r="C2" s="38">
        <f>Summary!C2</f>
        <v>45202</v>
      </c>
      <c r="D2" s="32">
        <v>45139</v>
      </c>
      <c r="E2" s="32">
        <f t="shared" ref="E2:L2" si="0">D2+7</f>
        <v>45146</v>
      </c>
      <c r="F2" s="32">
        <f t="shared" si="0"/>
        <v>45153</v>
      </c>
      <c r="G2" s="32">
        <f t="shared" si="0"/>
        <v>45160</v>
      </c>
      <c r="H2" s="32">
        <f t="shared" si="0"/>
        <v>45167</v>
      </c>
      <c r="I2" s="32">
        <f t="shared" si="0"/>
        <v>45174</v>
      </c>
      <c r="J2" s="32">
        <f t="shared" si="0"/>
        <v>45181</v>
      </c>
      <c r="K2" s="32">
        <f t="shared" si="0"/>
        <v>45188</v>
      </c>
      <c r="L2" s="32">
        <f t="shared" si="0"/>
        <v>45195</v>
      </c>
      <c r="M2" s="32">
        <v>45202</v>
      </c>
      <c r="N2" s="37"/>
      <c r="O2" s="4"/>
    </row>
    <row r="3" spans="1:15" x14ac:dyDescent="0.25">
      <c r="A3" s="45" t="s">
        <v>20</v>
      </c>
      <c r="B3" s="28">
        <v>0</v>
      </c>
      <c r="C3" s="41">
        <f ca="1">Summary!C5*B3</f>
        <v>0</v>
      </c>
      <c r="D3" s="42">
        <v>0</v>
      </c>
      <c r="E3" s="42">
        <v>0</v>
      </c>
      <c r="F3" s="42">
        <v>0</v>
      </c>
      <c r="G3" s="42">
        <v>0</v>
      </c>
      <c r="H3" s="42">
        <v>0</v>
      </c>
      <c r="I3" s="42">
        <v>0</v>
      </c>
      <c r="J3" s="42">
        <v>0</v>
      </c>
      <c r="K3" s="42">
        <v>0</v>
      </c>
      <c r="L3" s="42">
        <v>0</v>
      </c>
      <c r="M3" s="42">
        <v>0</v>
      </c>
      <c r="N3" s="37"/>
    </row>
    <row r="4" spans="1:15" x14ac:dyDescent="0.25">
      <c r="A4" s="45" t="s">
        <v>4</v>
      </c>
      <c r="B4" s="28">
        <v>0.01</v>
      </c>
      <c r="C4" s="41">
        <f ca="1">Summary!D5*B4</f>
        <v>1.46</v>
      </c>
      <c r="D4" s="42">
        <v>6.19</v>
      </c>
      <c r="E4" s="42">
        <v>7.96</v>
      </c>
      <c r="F4" s="42">
        <v>4.09</v>
      </c>
      <c r="G4" s="42">
        <v>0</v>
      </c>
      <c r="H4" s="42">
        <v>8.870000000000001</v>
      </c>
      <c r="I4" s="42">
        <v>10.55</v>
      </c>
      <c r="J4" s="42">
        <v>3.14</v>
      </c>
      <c r="K4" s="42">
        <v>2.61</v>
      </c>
      <c r="L4" s="42">
        <v>1.1500000000000001</v>
      </c>
      <c r="M4" s="42">
        <v>1.46</v>
      </c>
      <c r="N4" s="37"/>
    </row>
    <row r="5" spans="1:15" x14ac:dyDescent="0.25">
      <c r="A5" s="45" t="s">
        <v>5</v>
      </c>
      <c r="B5" s="28">
        <v>0.02</v>
      </c>
      <c r="C5" s="41">
        <f ca="1">Summary!E5*B5</f>
        <v>0</v>
      </c>
      <c r="D5" s="42">
        <v>0</v>
      </c>
      <c r="E5" s="42">
        <v>4.6399999999999997</v>
      </c>
      <c r="F5" s="42">
        <v>12.38</v>
      </c>
      <c r="G5" s="42">
        <v>15.92</v>
      </c>
      <c r="H5" s="42">
        <v>8.18</v>
      </c>
      <c r="I5" s="42">
        <v>0</v>
      </c>
      <c r="J5" s="42">
        <v>17.740000000000002</v>
      </c>
      <c r="K5" s="42">
        <v>21.1</v>
      </c>
      <c r="L5" s="42">
        <v>6.28</v>
      </c>
      <c r="M5" s="42">
        <v>0</v>
      </c>
      <c r="N5" s="37"/>
    </row>
    <row r="6" spans="1:15" x14ac:dyDescent="0.25">
      <c r="A6" s="45" t="s">
        <v>6</v>
      </c>
      <c r="B6" s="28">
        <v>0.05</v>
      </c>
      <c r="C6" s="41">
        <f ca="1">Summary!F5*B6</f>
        <v>78.300000000000011</v>
      </c>
      <c r="D6" s="42">
        <v>63.6</v>
      </c>
      <c r="E6" s="42">
        <v>63.6</v>
      </c>
      <c r="F6" s="42">
        <v>63.6</v>
      </c>
      <c r="G6" s="42">
        <v>11.600000000000001</v>
      </c>
      <c r="H6" s="42">
        <v>30.950000000000003</v>
      </c>
      <c r="I6" s="42">
        <v>51.400000000000006</v>
      </c>
      <c r="J6" s="42">
        <v>51.400000000000006</v>
      </c>
      <c r="K6" s="42">
        <v>39.800000000000004</v>
      </c>
      <c r="L6" s="42">
        <v>64.8</v>
      </c>
      <c r="M6" s="42">
        <v>78.300000000000011</v>
      </c>
      <c r="N6" s="37"/>
    </row>
    <row r="7" spans="1:15" x14ac:dyDescent="0.25">
      <c r="A7" s="45" t="s">
        <v>29</v>
      </c>
      <c r="B7" s="28">
        <v>0.1</v>
      </c>
      <c r="C7" s="41">
        <f ca="1">Summary!G5*B7</f>
        <v>361.40000000000003</v>
      </c>
      <c r="D7" s="42">
        <v>395.3</v>
      </c>
      <c r="E7" s="42">
        <v>395.3</v>
      </c>
      <c r="F7" s="42">
        <v>395.3</v>
      </c>
      <c r="G7" s="42">
        <v>1200</v>
      </c>
      <c r="H7" s="42">
        <v>522.5</v>
      </c>
      <c r="I7" s="42">
        <v>522.5</v>
      </c>
      <c r="J7" s="42">
        <v>522.5</v>
      </c>
      <c r="K7" s="42">
        <v>545.70000000000005</v>
      </c>
      <c r="L7" s="42">
        <v>584.4</v>
      </c>
      <c r="M7" s="42">
        <v>361.40000000000003</v>
      </c>
      <c r="N7" s="37"/>
    </row>
    <row r="8" spans="1:15" x14ac:dyDescent="0.25">
      <c r="A8" s="43" t="s">
        <v>31</v>
      </c>
      <c r="B8" s="44"/>
      <c r="C8" s="30">
        <f ca="1">SUM(C3:C7)</f>
        <v>441.16</v>
      </c>
      <c r="D8" s="30">
        <f t="shared" ref="D8:L8" si="1">SUM(D3:D7)</f>
        <v>465.09000000000003</v>
      </c>
      <c r="E8" s="30">
        <f t="shared" si="1"/>
        <v>471.5</v>
      </c>
      <c r="F8" s="30">
        <f t="shared" si="1"/>
        <v>475.37</v>
      </c>
      <c r="G8" s="30">
        <f t="shared" si="1"/>
        <v>1227.52</v>
      </c>
      <c r="H8" s="30">
        <f t="shared" si="1"/>
        <v>570.5</v>
      </c>
      <c r="I8" s="30">
        <f t="shared" si="1"/>
        <v>584.45000000000005</v>
      </c>
      <c r="J8" s="30">
        <f t="shared" si="1"/>
        <v>594.78</v>
      </c>
      <c r="K8" s="30">
        <f t="shared" si="1"/>
        <v>609.21</v>
      </c>
      <c r="L8" s="30">
        <f t="shared" si="1"/>
        <v>656.63</v>
      </c>
      <c r="M8" s="30">
        <f>SUM(M3:M7)</f>
        <v>441.16</v>
      </c>
      <c r="N8" s="37"/>
    </row>
    <row r="9" spans="1:15" x14ac:dyDescent="0.25">
      <c r="A9" s="43" t="s">
        <v>33</v>
      </c>
      <c r="B9" s="44"/>
      <c r="C9" s="29">
        <f ca="1">Summary!H5</f>
        <v>7651</v>
      </c>
      <c r="D9" s="36">
        <v>8336</v>
      </c>
      <c r="E9" s="36">
        <v>8336</v>
      </c>
      <c r="F9" s="36">
        <v>8336</v>
      </c>
      <c r="G9" s="36">
        <v>8336</v>
      </c>
      <c r="H9" s="36">
        <v>8336</v>
      </c>
      <c r="I9" s="36">
        <v>8336</v>
      </c>
      <c r="J9" s="36">
        <v>8336</v>
      </c>
      <c r="K9" s="36">
        <v>8336</v>
      </c>
      <c r="L9" s="36">
        <v>8336</v>
      </c>
      <c r="M9" s="36">
        <v>7651</v>
      </c>
      <c r="N9" s="37"/>
    </row>
    <row r="10" spans="1:15" x14ac:dyDescent="0.25">
      <c r="A10" s="43" t="s">
        <v>32</v>
      </c>
      <c r="B10" s="44"/>
      <c r="C10" s="31">
        <f t="shared" ref="C10:M10" ca="1" si="2">C8/C9</f>
        <v>5.7660436544242584E-2</v>
      </c>
      <c r="D10" s="31">
        <f t="shared" si="2"/>
        <v>5.5792946257197704E-2</v>
      </c>
      <c r="E10" s="31">
        <f t="shared" si="2"/>
        <v>5.6561900191938581E-2</v>
      </c>
      <c r="F10" s="31">
        <f t="shared" si="2"/>
        <v>5.702615163147793E-2</v>
      </c>
      <c r="G10" s="31">
        <f t="shared" si="2"/>
        <v>0.14725527831094049</v>
      </c>
      <c r="H10" s="31">
        <f t="shared" si="2"/>
        <v>6.8438099808061426E-2</v>
      </c>
      <c r="I10" s="31">
        <f t="shared" si="2"/>
        <v>7.0111564299424195E-2</v>
      </c>
      <c r="J10" s="31">
        <f t="shared" si="2"/>
        <v>7.1350767754318617E-2</v>
      </c>
      <c r="K10" s="31">
        <f t="shared" si="2"/>
        <v>7.3081813819577734E-2</v>
      </c>
      <c r="L10" s="31">
        <f t="shared" si="2"/>
        <v>7.8770393474088291E-2</v>
      </c>
      <c r="M10" s="31">
        <f t="shared" si="2"/>
        <v>5.7660436544242584E-2</v>
      </c>
      <c r="N10" s="37"/>
    </row>
    <row r="13" spans="1:15" x14ac:dyDescent="0.25">
      <c r="B13" t="s">
        <v>9</v>
      </c>
      <c r="C13" t="s">
        <v>12</v>
      </c>
      <c r="D13" t="s">
        <v>28</v>
      </c>
      <c r="E13" t="s">
        <v>11</v>
      </c>
      <c r="F13" t="s">
        <v>10</v>
      </c>
    </row>
    <row r="14" spans="1:15" x14ac:dyDescent="0.25">
      <c r="B14" s="33">
        <v>45139</v>
      </c>
      <c r="C14" s="34">
        <f>HLOOKUP(Rateofloss[[#This Row],[Date]],$C$2:$N$10,9,0)</f>
        <v>5.5792946257197704E-2</v>
      </c>
      <c r="D14" s="35">
        <f>10%</f>
        <v>0.1</v>
      </c>
      <c r="E14" s="13">
        <f>YEAR(Rateofloss[[#This Row],[Date]])</f>
        <v>2023</v>
      </c>
      <c r="F14" s="13">
        <f>MONTH(Rateofloss[[#This Row],[Date]])</f>
        <v>8</v>
      </c>
    </row>
    <row r="15" spans="1:15" x14ac:dyDescent="0.25">
      <c r="B15" s="33">
        <v>45146</v>
      </c>
      <c r="C15" s="34">
        <f>HLOOKUP(Rateofloss[[#This Row],[Date]],$C$2:$N$10,9,0)</f>
        <v>5.6561900191938581E-2</v>
      </c>
      <c r="D15" s="35">
        <f>10%</f>
        <v>0.1</v>
      </c>
      <c r="E15" s="13">
        <f>YEAR(Rateofloss[[#This Row],[Date]])</f>
        <v>2023</v>
      </c>
      <c r="F15" s="13">
        <f>MONTH(Rateofloss[[#This Row],[Date]])</f>
        <v>8</v>
      </c>
    </row>
    <row r="16" spans="1:15" x14ac:dyDescent="0.25">
      <c r="B16" s="33">
        <v>45153</v>
      </c>
      <c r="C16" s="34">
        <f>HLOOKUP(Rateofloss[[#This Row],[Date]],$C$2:$N$10,9,0)</f>
        <v>5.702615163147793E-2</v>
      </c>
      <c r="D16" s="35">
        <f>10%</f>
        <v>0.1</v>
      </c>
      <c r="E16" s="13">
        <f>YEAR(Rateofloss[[#This Row],[Date]])</f>
        <v>2023</v>
      </c>
      <c r="F16" s="13">
        <f>MONTH(Rateofloss[[#This Row],[Date]])</f>
        <v>8</v>
      </c>
    </row>
    <row r="17" spans="2:6" x14ac:dyDescent="0.25">
      <c r="B17" s="33">
        <v>45160</v>
      </c>
      <c r="C17" s="34">
        <f>HLOOKUP(Rateofloss[[#This Row],[Date]],$C$2:$N$10,9,0)</f>
        <v>0.14725527831094049</v>
      </c>
      <c r="D17" s="35">
        <f>10%</f>
        <v>0.1</v>
      </c>
      <c r="E17" s="13">
        <f>YEAR(Rateofloss[[#This Row],[Date]])</f>
        <v>2023</v>
      </c>
      <c r="F17" s="13">
        <f>MONTH(Rateofloss[[#This Row],[Date]])</f>
        <v>8</v>
      </c>
    </row>
    <row r="18" spans="2:6" x14ac:dyDescent="0.25">
      <c r="B18" s="33">
        <v>45167</v>
      </c>
      <c r="C18" s="34">
        <f>HLOOKUP(Rateofloss[[#This Row],[Date]],$C$2:$N$10,9,0)</f>
        <v>6.8438099808061426E-2</v>
      </c>
      <c r="D18" s="35">
        <f>10%</f>
        <v>0.1</v>
      </c>
      <c r="E18" s="13">
        <f>YEAR(Rateofloss[[#This Row],[Date]])</f>
        <v>2023</v>
      </c>
      <c r="F18" s="13">
        <f>MONTH(Rateofloss[[#This Row],[Date]])</f>
        <v>8</v>
      </c>
    </row>
    <row r="19" spans="2:6" x14ac:dyDescent="0.25">
      <c r="B19" s="33">
        <v>45174</v>
      </c>
      <c r="C19" s="34">
        <f>HLOOKUP(Rateofloss[[#This Row],[Date]],$C$2:$N$10,9,0)</f>
        <v>7.0111564299424195E-2</v>
      </c>
      <c r="D19" s="35">
        <f>10%</f>
        <v>0.1</v>
      </c>
      <c r="E19" s="13">
        <f>YEAR(Rateofloss[[#This Row],[Date]])</f>
        <v>2023</v>
      </c>
      <c r="F19" s="13">
        <f>MONTH(Rateofloss[[#This Row],[Date]])</f>
        <v>9</v>
      </c>
    </row>
    <row r="20" spans="2:6" x14ac:dyDescent="0.25">
      <c r="B20" s="33">
        <v>45181</v>
      </c>
      <c r="C20" s="34">
        <f>HLOOKUP(Rateofloss[[#This Row],[Date]],$C$2:$N$10,9,0)</f>
        <v>7.1350767754318617E-2</v>
      </c>
      <c r="D20" s="35">
        <f>10%</f>
        <v>0.1</v>
      </c>
      <c r="E20" s="13">
        <f>YEAR(Rateofloss[[#This Row],[Date]])</f>
        <v>2023</v>
      </c>
      <c r="F20" s="13">
        <f>MONTH(Rateofloss[[#This Row],[Date]])</f>
        <v>9</v>
      </c>
    </row>
    <row r="21" spans="2:6" x14ac:dyDescent="0.25">
      <c r="B21" s="33">
        <v>45188</v>
      </c>
      <c r="C21" s="34">
        <f>HLOOKUP(Rateofloss[[#This Row],[Date]],$C$2:$N$10,9,0)</f>
        <v>7.3081813819577734E-2</v>
      </c>
      <c r="D21" s="35">
        <f>10%</f>
        <v>0.1</v>
      </c>
      <c r="E21" s="13">
        <f>YEAR(Rateofloss[[#This Row],[Date]])</f>
        <v>2023</v>
      </c>
      <c r="F21" s="13">
        <f>MONTH(Rateofloss[[#This Row],[Date]])</f>
        <v>9</v>
      </c>
    </row>
    <row r="22" spans="2:6" x14ac:dyDescent="0.25">
      <c r="B22" s="33">
        <v>45195</v>
      </c>
      <c r="C22" s="34">
        <f>HLOOKUP(Rateofloss[[#This Row],[Date]],$C$2:$N$10,9,0)</f>
        <v>7.8770393474088291E-2</v>
      </c>
      <c r="D22" s="35">
        <f>10%</f>
        <v>0.1</v>
      </c>
      <c r="E22" s="13">
        <f>YEAR(Rateofloss[[#This Row],[Date]])</f>
        <v>2023</v>
      </c>
      <c r="F22" s="13">
        <f>MONTH(Rateofloss[[#This Row],[Date]])</f>
        <v>9</v>
      </c>
    </row>
    <row r="23" spans="2:6" x14ac:dyDescent="0.25">
      <c r="B23" s="33">
        <v>45202</v>
      </c>
      <c r="C23" s="34">
        <f ca="1">HLOOKUP(Rateofloss[[#This Row],[Date]],$C$2:$N$10,9,0)</f>
        <v>5.7660436544242584E-2</v>
      </c>
      <c r="D23" s="35">
        <f>10%</f>
        <v>0.1</v>
      </c>
      <c r="E23" s="51">
        <f>YEAR(Rateofloss[[#This Row],[Date]])</f>
        <v>2023</v>
      </c>
      <c r="F23" s="51">
        <f>MONTH(Rateofloss[[#This Row],[Date]])</f>
        <v>10</v>
      </c>
    </row>
  </sheetData>
  <mergeCells count="3">
    <mergeCell ref="A8:B8"/>
    <mergeCell ref="A9:B9"/>
    <mergeCell ref="A10:B10"/>
  </mergeCells>
  <pageMargins left="0.7" right="0.7" top="0.75" bottom="0.75" header="0.3" footer="0.3"/>
  <ignoredErrors>
    <ignoredError sqref="D8 M8" formulaRange="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9"/>
  <sheetViews>
    <sheetView showGridLines="0" zoomScale="145" zoomScaleNormal="145" workbookViewId="0">
      <selection activeCell="C6" sqref="C6:H11"/>
    </sheetView>
  </sheetViews>
  <sheetFormatPr defaultColWidth="0" defaultRowHeight="15" x14ac:dyDescent="0.25"/>
  <cols>
    <col min="1" max="1" width="1.140625" customWidth="1"/>
    <col min="2" max="8" width="12.5703125" customWidth="1"/>
    <col min="9" max="9" width="1.42578125" customWidth="1"/>
    <col min="10" max="10" width="10.7109375" hidden="1" customWidth="1"/>
    <col min="11" max="14" width="10.85546875" hidden="1" customWidth="1"/>
    <col min="15" max="15" width="17.42578125" hidden="1" customWidth="1"/>
    <col min="16" max="16" width="10.85546875" hidden="1" customWidth="1"/>
    <col min="17" max="25" width="11.5703125" hidden="1" customWidth="1"/>
    <col min="26" max="26" width="2.5703125" hidden="1" customWidth="1"/>
    <col min="27" max="16384" width="9.140625" hidden="1"/>
  </cols>
  <sheetData>
    <row r="1" spans="2:10" ht="4.5" customHeight="1" x14ac:dyDescent="0.25"/>
    <row r="2" spans="2:10" x14ac:dyDescent="0.25">
      <c r="B2" s="5" t="s">
        <v>9</v>
      </c>
      <c r="C2" s="6">
        <v>45202</v>
      </c>
    </row>
    <row r="4" spans="2:10" x14ac:dyDescent="0.25">
      <c r="C4" s="26">
        <v>0</v>
      </c>
      <c r="D4" s="26">
        <v>14</v>
      </c>
      <c r="E4" s="26">
        <v>30</v>
      </c>
      <c r="F4" s="26">
        <v>60</v>
      </c>
      <c r="G4" s="26">
        <v>60</v>
      </c>
    </row>
    <row r="5" spans="2:10" x14ac:dyDescent="0.25">
      <c r="C5" s="24">
        <f ca="1">SUBTOTAL(9,Summary[Current])</f>
        <v>2325</v>
      </c>
      <c r="D5" s="24">
        <f ca="1">SUBTOTAL(9,Summary[0-14 days])</f>
        <v>146</v>
      </c>
      <c r="E5" s="24">
        <f ca="1">SUBTOTAL(9,Summary[15-30 days])</f>
        <v>0</v>
      </c>
      <c r="F5" s="24">
        <f ca="1">SUBTOTAL(9,Summary[31-60 days])</f>
        <v>1566</v>
      </c>
      <c r="G5" s="24">
        <f ca="1">SUBTOTAL(9,Summary[&gt;60 days])</f>
        <v>3614</v>
      </c>
      <c r="H5" s="25">
        <f ca="1">SUBTOTAL(9,Summary[Balance])</f>
        <v>7651</v>
      </c>
    </row>
    <row r="6" spans="2:10" x14ac:dyDescent="0.25">
      <c r="B6" s="11" t="s">
        <v>0</v>
      </c>
      <c r="C6" s="12" t="s">
        <v>20</v>
      </c>
      <c r="D6" s="7" t="s">
        <v>4</v>
      </c>
      <c r="E6" s="8" t="s">
        <v>5</v>
      </c>
      <c r="F6" s="9" t="s">
        <v>6</v>
      </c>
      <c r="G6" s="10" t="s">
        <v>29</v>
      </c>
      <c r="H6" s="10" t="s">
        <v>8</v>
      </c>
    </row>
    <row r="7" spans="2:10" x14ac:dyDescent="0.25">
      <c r="B7" s="13" t="s">
        <v>13</v>
      </c>
      <c r="C7" s="14">
        <f t="shared" ref="C7:C10" ca="1" si="0">SUMIFS(INDIRECT($B7&amp;"[Remaining Amt]"),INDIRECT($B7&amp;"[Overdue]"),"&lt;="&amp;C$4)</f>
        <v>187</v>
      </c>
      <c r="D7" s="14">
        <f t="shared" ref="D7:D10" ca="1" si="1">SUMIFS(INDIRECT($B7&amp;"[Remaining Amt]"),INDIRECT($B7&amp;"[Overdue]"),"&lt;="&amp;D$4)-C7</f>
        <v>0</v>
      </c>
      <c r="E7" s="14">
        <f ca="1">SUMIFS(INDIRECT($B7&amp;"[Remaining Amt]"),INDIRECT($B7&amp;"[Overdue]"),"&lt;="&amp;E$4)-SUM($C7:D7)</f>
        <v>0</v>
      </c>
      <c r="F7" s="14">
        <f ca="1">SUMIFS(INDIRECT($B7&amp;"[Remaining Amt]"),INDIRECT($B7&amp;"[Overdue]"),"&lt;="&amp;F$4)-SUM($C7:E7)</f>
        <v>168</v>
      </c>
      <c r="G7" s="14">
        <f t="shared" ref="G7:G10" ca="1" si="2">SUMIFS(INDIRECT($B7&amp;"[Remaining Amt]"),INDIRECT($B7&amp;"[Overdue]"),"&gt;"&amp;G$4)</f>
        <v>0</v>
      </c>
      <c r="H7" s="14">
        <f ca="1">SUM(Summary!$C7:$G7)</f>
        <v>355</v>
      </c>
    </row>
    <row r="8" spans="2:10" x14ac:dyDescent="0.25">
      <c r="B8" s="13" t="s">
        <v>14</v>
      </c>
      <c r="C8" s="14">
        <f t="shared" ca="1" si="0"/>
        <v>170</v>
      </c>
      <c r="D8" s="14">
        <f t="shared" ca="1" si="1"/>
        <v>146</v>
      </c>
      <c r="E8" s="14">
        <f ca="1">SUMIFS(INDIRECT($B8&amp;"[Remaining Amt]"),INDIRECT($B8&amp;"[Overdue]"),"&lt;="&amp;E$4)-SUM($C8:D8)</f>
        <v>0</v>
      </c>
      <c r="F8" s="14">
        <f ca="1">SUMIFS(INDIRECT($B8&amp;"[Remaining Amt]"),INDIRECT($B8&amp;"[Overdue]"),"&lt;="&amp;F$4)-SUM($C8:E8)</f>
        <v>0</v>
      </c>
      <c r="G8" s="14">
        <f t="shared" ca="1" si="2"/>
        <v>0</v>
      </c>
      <c r="H8" s="14">
        <f ca="1">SUM(Summary!$C8:$G8)</f>
        <v>316</v>
      </c>
    </row>
    <row r="9" spans="2:10" x14ac:dyDescent="0.25">
      <c r="B9" s="13" t="s">
        <v>15</v>
      </c>
      <c r="C9" s="15">
        <f t="shared" ca="1" si="0"/>
        <v>410</v>
      </c>
      <c r="D9" s="15">
        <f t="shared" ca="1" si="1"/>
        <v>0</v>
      </c>
      <c r="E9" s="15">
        <f ca="1">SUMIFS(INDIRECT($B9&amp;"[Remaining Amt]"),INDIRECT($B9&amp;"[Overdue]"),"&lt;="&amp;E$4)-SUM($C9:D9)</f>
        <v>0</v>
      </c>
      <c r="F9" s="15">
        <f ca="1">SUMIFS(INDIRECT($B9&amp;"[Remaining Amt]"),INDIRECT($B9&amp;"[Overdue]"),"&lt;="&amp;F$4)-SUM($C9:E9)</f>
        <v>1002</v>
      </c>
      <c r="G9" s="15">
        <f t="shared" ca="1" si="2"/>
        <v>1155</v>
      </c>
      <c r="H9" s="15">
        <f ca="1">SUM(Summary!$C9:$G9)</f>
        <v>2567</v>
      </c>
    </row>
    <row r="10" spans="2:10" x14ac:dyDescent="0.25">
      <c r="B10" s="13" t="s">
        <v>16</v>
      </c>
      <c r="C10" s="15">
        <f t="shared" ca="1" si="0"/>
        <v>0</v>
      </c>
      <c r="D10" s="15">
        <f t="shared" ca="1" si="1"/>
        <v>0</v>
      </c>
      <c r="E10" s="15">
        <f ca="1">SUMIFS(INDIRECT($B10&amp;"[Remaining Amt]"),INDIRECT($B10&amp;"[Overdue]"),"&lt;="&amp;E$4)-SUM($C10:D10)</f>
        <v>0</v>
      </c>
      <c r="F10" s="15">
        <f ca="1">SUMIFS(INDIRECT($B10&amp;"[Remaining Amt]"),INDIRECT($B10&amp;"[Overdue]"),"&lt;="&amp;F$4)-SUM($C10:E10)</f>
        <v>0</v>
      </c>
      <c r="G10" s="15">
        <f t="shared" ca="1" si="2"/>
        <v>2459</v>
      </c>
      <c r="H10" s="15">
        <f ca="1">SUM(Summary!$C10:$G10)</f>
        <v>2459</v>
      </c>
    </row>
    <row r="11" spans="2:10" x14ac:dyDescent="0.25">
      <c r="B11" s="49" t="s">
        <v>17</v>
      </c>
      <c r="C11" s="50">
        <f ca="1">SUMIFS(INDIRECT($B11&amp;"[Remaining Amt]"),INDIRECT($B11&amp;"[Overdue]"),"&lt;="&amp;C$4)</f>
        <v>1558</v>
      </c>
      <c r="D11" s="50">
        <f ca="1">SUMIFS(INDIRECT($B11&amp;"[Remaining Amt]"),INDIRECT($B11&amp;"[Overdue]"),"&lt;="&amp;D$4)-C11</f>
        <v>0</v>
      </c>
      <c r="E11" s="50">
        <f ca="1">SUMIFS(INDIRECT($B11&amp;"[Remaining Amt]"),INDIRECT($B11&amp;"[Overdue]"),"&lt;="&amp;E$4)-SUM($C11:D11)</f>
        <v>0</v>
      </c>
      <c r="F11" s="50">
        <f ca="1">SUMIFS(INDIRECT($B11&amp;"[Remaining Amt]"),INDIRECT($B11&amp;"[Overdue]"),"&lt;="&amp;F$4)-SUM($C11:E11)</f>
        <v>396</v>
      </c>
      <c r="G11" s="50">
        <f ca="1">SUMIFS(INDIRECT($B11&amp;"[Remaining Amt]"),INDIRECT($B11&amp;"[Overdue]"),"&gt;"&amp;G$4)</f>
        <v>0</v>
      </c>
      <c r="H11" s="50">
        <f ca="1">SUM(Summary!$C11:$G11)</f>
        <v>1954</v>
      </c>
    </row>
    <row r="14" spans="2:10" x14ac:dyDescent="0.25">
      <c r="I14" s="3"/>
    </row>
    <row r="15" spans="2:10" x14ac:dyDescent="0.25">
      <c r="J15" s="4"/>
    </row>
    <row r="16" spans="2:10" x14ac:dyDescent="0.25">
      <c r="J16" s="4"/>
    </row>
    <row r="17" spans="10:10" x14ac:dyDescent="0.25">
      <c r="J17" s="4"/>
    </row>
    <row r="18" spans="10:10" x14ac:dyDescent="0.25">
      <c r="J18" s="4"/>
    </row>
    <row r="19" spans="10:10" x14ac:dyDescent="0.25">
      <c r="J19" s="4"/>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CC1F-47ED-4114-A94A-7E43D8A2C1B3}">
  <sheetPr>
    <tabColor rgb="FFFF0000"/>
  </sheetPr>
  <dimension ref="A1:Z20"/>
  <sheetViews>
    <sheetView showGridLines="0" zoomScale="145" zoomScaleNormal="145" workbookViewId="0">
      <selection activeCell="E8" sqref="E8"/>
    </sheetView>
  </sheetViews>
  <sheetFormatPr defaultColWidth="0" defaultRowHeight="15" x14ac:dyDescent="0.25"/>
  <cols>
    <col min="1" max="1" width="1.140625" customWidth="1"/>
    <col min="2" max="8" width="12.5703125" customWidth="1"/>
    <col min="9" max="9" width="2.28515625" customWidth="1"/>
    <col min="10" max="10" width="10.7109375" hidden="1" customWidth="1"/>
    <col min="11" max="14" width="10.85546875" hidden="1" customWidth="1"/>
    <col min="15" max="15" width="17.42578125" hidden="1" customWidth="1"/>
    <col min="16" max="16" width="10.85546875" hidden="1" customWidth="1"/>
    <col min="17" max="25" width="11.5703125" hidden="1" customWidth="1"/>
    <col min="26" max="26" width="2.5703125" hidden="1" customWidth="1"/>
    <col min="27" max="16384" width="9.140625" hidden="1"/>
  </cols>
  <sheetData>
    <row r="1" spans="2:10" ht="4.5" customHeight="1" x14ac:dyDescent="0.25"/>
    <row r="2" spans="2:10" x14ac:dyDescent="0.25">
      <c r="B2" s="5" t="s">
        <v>9</v>
      </c>
      <c r="C2" s="6">
        <v>45202</v>
      </c>
    </row>
    <row r="4" spans="2:10" x14ac:dyDescent="0.25">
      <c r="C4" s="26">
        <v>0</v>
      </c>
      <c r="D4" s="26">
        <v>14</v>
      </c>
      <c r="E4" s="26">
        <v>30</v>
      </c>
      <c r="F4" s="26">
        <v>60</v>
      </c>
      <c r="G4" s="26">
        <v>60</v>
      </c>
    </row>
    <row r="5" spans="2:10" x14ac:dyDescent="0.25">
      <c r="C5" s="24">
        <f ca="1">SUBTOTAL(9,Summary13[Current])</f>
        <v>2325</v>
      </c>
      <c r="D5" s="24">
        <f ca="1">SUBTOTAL(9,Summary13[0-14 days])</f>
        <v>146</v>
      </c>
      <c r="E5" s="24">
        <f ca="1">SUBTOTAL(9,Summary13[15-30 days])</f>
        <v>0</v>
      </c>
      <c r="F5" s="24">
        <f ca="1">SUBTOTAL(9,Summary13[31-60 days])</f>
        <v>1566</v>
      </c>
      <c r="G5" s="24">
        <f ca="1">SUBTOTAL(9,Summary13[&gt;60days])</f>
        <v>3614</v>
      </c>
      <c r="H5" s="25">
        <f ca="1">SUBTOTAL(9,Summary13[Balance])</f>
        <v>7651</v>
      </c>
    </row>
    <row r="6" spans="2:10" x14ac:dyDescent="0.25">
      <c r="B6" s="11" t="s">
        <v>0</v>
      </c>
      <c r="C6" s="12" t="s">
        <v>20</v>
      </c>
      <c r="D6" s="7" t="s">
        <v>4</v>
      </c>
      <c r="E6" s="8" t="s">
        <v>5</v>
      </c>
      <c r="F6" s="9" t="s">
        <v>6</v>
      </c>
      <c r="G6" s="10" t="s">
        <v>7</v>
      </c>
      <c r="H6" s="10" t="s">
        <v>8</v>
      </c>
    </row>
    <row r="7" spans="2:10" x14ac:dyDescent="0.25">
      <c r="B7" s="13" t="s">
        <v>13</v>
      </c>
      <c r="C7" s="14">
        <f t="shared" ref="C7:C11" ca="1" si="0">SUMIFS(INDIRECT($B7&amp;"!H:H"),INDIRECT($B7&amp;"!I:I"),"&lt;="&amp;C$4)</f>
        <v>187</v>
      </c>
      <c r="D7" s="14">
        <f t="shared" ref="D7:D11" ca="1" si="1">SUMIFS(INDIRECT($B7&amp;"!H:H"),INDIRECT($B7&amp;"!i:i"),"&lt;="&amp;D$4)-C7</f>
        <v>0</v>
      </c>
      <c r="E7" s="14">
        <f ca="1">SUMIFS(INDIRECT($B7&amp;"!h:h"),INDIRECT($B7&amp;"!i:i"),"&lt;="&amp;E$4)-SUM($C7:D7)</f>
        <v>0</v>
      </c>
      <c r="F7" s="14">
        <f ca="1">SUMIFS(INDIRECT($B7&amp;"!h:h"),INDIRECT($B7&amp;"!i:i"),"&lt;="&amp;F$4)-SUM($C7:E7)</f>
        <v>168</v>
      </c>
      <c r="G7" s="14">
        <f t="shared" ref="G7:G11" ca="1" si="2">SUMIFS(INDIRECT($B7&amp;"!h:h"),INDIRECT($B7&amp;"!i:i"),"&gt;"&amp;G$4)</f>
        <v>0</v>
      </c>
      <c r="H7" s="14">
        <f ca="1">SUM('Summary (2)'!$C7:$G7)</f>
        <v>355</v>
      </c>
    </row>
    <row r="8" spans="2:10" x14ac:dyDescent="0.25">
      <c r="B8" s="13" t="s">
        <v>14</v>
      </c>
      <c r="C8" s="14">
        <f t="shared" ca="1" si="0"/>
        <v>170</v>
      </c>
      <c r="D8" s="14">
        <f t="shared" ca="1" si="1"/>
        <v>146</v>
      </c>
      <c r="E8" s="14">
        <f ca="1">SUMIFS(INDIRECT($B8&amp;"!h:h"),INDIRECT($B8&amp;"!i:i"),"&lt;="&amp;E$4)-SUM($C8:D8)</f>
        <v>0</v>
      </c>
      <c r="F8" s="14">
        <f ca="1">SUMIFS(INDIRECT($B8&amp;"!h:h"),INDIRECT($B8&amp;"!i:i"),"&lt;="&amp;F$4)-SUM($C8:E8)</f>
        <v>0</v>
      </c>
      <c r="G8" s="14">
        <f t="shared" ca="1" si="2"/>
        <v>0</v>
      </c>
      <c r="H8" s="14">
        <f ca="1">SUM('Summary (2)'!$C8:$G8)</f>
        <v>316</v>
      </c>
    </row>
    <row r="9" spans="2:10" x14ac:dyDescent="0.25">
      <c r="B9" s="13" t="s">
        <v>15</v>
      </c>
      <c r="C9" s="15">
        <f t="shared" ca="1" si="0"/>
        <v>410</v>
      </c>
      <c r="D9" s="15">
        <f t="shared" ca="1" si="1"/>
        <v>0</v>
      </c>
      <c r="E9" s="15">
        <f ca="1">SUMIFS(INDIRECT($B9&amp;"!h:h"),INDIRECT($B9&amp;"!i:i"),"&lt;="&amp;E$4)-SUM($C9:D9)</f>
        <v>0</v>
      </c>
      <c r="F9" s="15">
        <f ca="1">SUMIFS(INDIRECT($B9&amp;"!h:h"),INDIRECT($B9&amp;"!i:i"),"&lt;="&amp;F$4)-SUM($C9:E9)</f>
        <v>1002</v>
      </c>
      <c r="G9" s="15">
        <f t="shared" ca="1" si="2"/>
        <v>1155</v>
      </c>
      <c r="H9" s="15">
        <f ca="1">SUM('Summary (2)'!$C9:$G9)</f>
        <v>2567</v>
      </c>
    </row>
    <row r="10" spans="2:10" x14ac:dyDescent="0.25">
      <c r="B10" s="13" t="s">
        <v>16</v>
      </c>
      <c r="C10" s="15">
        <f t="shared" ca="1" si="0"/>
        <v>0</v>
      </c>
      <c r="D10" s="15">
        <f t="shared" ca="1" si="1"/>
        <v>0</v>
      </c>
      <c r="E10" s="15">
        <f ca="1">SUMIFS(INDIRECT($B10&amp;"!h:h"),INDIRECT($B10&amp;"!i:i"),"&lt;="&amp;E$4)-SUM($C10:D10)</f>
        <v>0</v>
      </c>
      <c r="F10" s="15">
        <f ca="1">SUMIFS(INDIRECT($B10&amp;"!h:h"),INDIRECT($B10&amp;"!i:i"),"&lt;="&amp;F$4)-SUM($C10:E10)</f>
        <v>0</v>
      </c>
      <c r="G10" s="15">
        <f t="shared" ca="1" si="2"/>
        <v>2459</v>
      </c>
      <c r="H10" s="15">
        <f ca="1">SUM('Summary (2)'!$C10:$G10)</f>
        <v>2459</v>
      </c>
    </row>
    <row r="11" spans="2:10" x14ac:dyDescent="0.25">
      <c r="B11" s="13" t="s">
        <v>17</v>
      </c>
      <c r="C11" s="15">
        <f t="shared" ca="1" si="0"/>
        <v>1558</v>
      </c>
      <c r="D11" s="15">
        <f t="shared" ca="1" si="1"/>
        <v>0</v>
      </c>
      <c r="E11" s="15">
        <f ca="1">SUMIFS(INDIRECT($B11&amp;"!h:h"),INDIRECT($B11&amp;"!i:i"),"&lt;="&amp;E$4)-SUM($C11:D11)</f>
        <v>0</v>
      </c>
      <c r="F11" s="15">
        <f ca="1">SUMIFS(INDIRECT($B11&amp;"!h:h"),INDIRECT($B11&amp;"!i:i"),"&lt;="&amp;F$4)-SUM($C11:E11)</f>
        <v>396</v>
      </c>
      <c r="G11" s="15">
        <f t="shared" ca="1" si="2"/>
        <v>0</v>
      </c>
      <c r="H11" s="15">
        <f ca="1">SUM('Summary (2)'!$C11:$G11)</f>
        <v>1954</v>
      </c>
    </row>
    <row r="15" spans="2:10" x14ac:dyDescent="0.25">
      <c r="I15" s="3"/>
    </row>
    <row r="16" spans="2:10" x14ac:dyDescent="0.25">
      <c r="J16" s="4"/>
    </row>
    <row r="17" spans="10:10" x14ac:dyDescent="0.25">
      <c r="J17" s="4"/>
    </row>
    <row r="18" spans="10:10" x14ac:dyDescent="0.25">
      <c r="J18" s="4"/>
    </row>
    <row r="19" spans="10:10" x14ac:dyDescent="0.25">
      <c r="J19" s="4"/>
    </row>
    <row r="20" spans="10:10" x14ac:dyDescent="0.25">
      <c r="J20" s="4"/>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
  <sheetViews>
    <sheetView tabSelected="1" zoomScale="130" zoomScaleNormal="130" workbookViewId="0">
      <selection activeCell="K1" sqref="K1:M2"/>
    </sheetView>
  </sheetViews>
  <sheetFormatPr defaultRowHeight="15" x14ac:dyDescent="0.25"/>
  <cols>
    <col min="1" max="1" width="7.28515625" bestFit="1" customWidth="1"/>
    <col min="2" max="2" width="9" bestFit="1" customWidth="1"/>
    <col min="3" max="3" width="10.28515625" bestFit="1" customWidth="1"/>
    <col min="4" max="4" width="8.42578125" bestFit="1" customWidth="1"/>
    <col min="5" max="5" width="9" bestFit="1" customWidth="1"/>
    <col min="6" max="6" width="14.5703125" bestFit="1" customWidth="1"/>
    <col min="7" max="7" width="14.28515625" bestFit="1" customWidth="1"/>
    <col min="8" max="8" width="14.7109375" bestFit="1" customWidth="1"/>
    <col min="9" max="9" width="8.7109375" bestFit="1" customWidth="1"/>
    <col min="11" max="11" width="11.140625" bestFit="1" customWidth="1"/>
    <col min="12" max="12" width="11.28515625" bestFit="1" customWidth="1"/>
  </cols>
  <sheetData>
    <row r="1" spans="1:12" x14ac:dyDescent="0.25">
      <c r="B1" s="1"/>
      <c r="F1" s="21" t="s">
        <v>18</v>
      </c>
      <c r="G1" s="21" t="s">
        <v>13</v>
      </c>
    </row>
    <row r="2" spans="1:12" x14ac:dyDescent="0.25">
      <c r="C2" s="2">
        <f>SUBTOTAL(9,Bacgiang[Amt (USD)])</f>
        <v>1009</v>
      </c>
      <c r="D2" s="2"/>
      <c r="E2" s="2"/>
      <c r="F2" s="2"/>
      <c r="G2" s="2">
        <f>SUBTOTAL(9,Bacgiang[Collection Amt])</f>
        <v>654</v>
      </c>
      <c r="H2" s="2">
        <f>SUBTOTAL(9,Bacgiang[Remaining Amt])</f>
        <v>355</v>
      </c>
    </row>
    <row r="3" spans="1:12" x14ac:dyDescent="0.25">
      <c r="A3" t="s">
        <v>21</v>
      </c>
      <c r="B3" t="s">
        <v>22</v>
      </c>
      <c r="C3" t="s">
        <v>23</v>
      </c>
      <c r="D3" t="s">
        <v>27</v>
      </c>
      <c r="E3" t="s">
        <v>24</v>
      </c>
      <c r="F3" t="s">
        <v>3</v>
      </c>
      <c r="G3" t="s">
        <v>25</v>
      </c>
      <c r="H3" t="s">
        <v>26</v>
      </c>
      <c r="I3" t="s">
        <v>2</v>
      </c>
    </row>
    <row r="4" spans="1:12" x14ac:dyDescent="0.25">
      <c r="A4" s="16">
        <v>2</v>
      </c>
      <c r="B4" s="19">
        <v>44998</v>
      </c>
      <c r="C4" s="23">
        <v>121</v>
      </c>
      <c r="D4" s="39" cm="1">
        <f t="array" ref="D4">VLOOKUP(B4,_xlfn._xlws.FILTER(payterm[],payterm[Customer]=$G$1),3,1)</f>
        <v>30</v>
      </c>
      <c r="E4" s="18">
        <f t="shared" ref="E4:E10" si="0">D4+B4</f>
        <v>45028</v>
      </c>
      <c r="F4" s="19">
        <v>45028</v>
      </c>
      <c r="G4" s="23">
        <v>121</v>
      </c>
      <c r="H4" s="2">
        <f t="shared" ref="H4:H10" si="1">C4-G4</f>
        <v>0</v>
      </c>
      <c r="I4" s="2">
        <f>IF(H4&gt;0,Summary!$C$2-E4,0)</f>
        <v>0</v>
      </c>
      <c r="L4" s="48"/>
    </row>
    <row r="5" spans="1:12" x14ac:dyDescent="0.25">
      <c r="A5" s="16">
        <v>3</v>
      </c>
      <c r="B5" s="19">
        <v>45002</v>
      </c>
      <c r="C5" s="23">
        <v>104</v>
      </c>
      <c r="D5" s="39" cm="1">
        <f t="array" ref="D5">VLOOKUP(B5,_xlfn._xlws.FILTER(payterm[],payterm[Customer]=$G$1),3,1)</f>
        <v>30</v>
      </c>
      <c r="E5" s="18">
        <f t="shared" si="0"/>
        <v>45032</v>
      </c>
      <c r="F5" s="19">
        <v>45032</v>
      </c>
      <c r="G5" s="23">
        <v>104</v>
      </c>
      <c r="H5" s="2">
        <f t="shared" si="1"/>
        <v>0</v>
      </c>
      <c r="I5" s="2">
        <f>IF(H5&gt;0,Summary!$C$2-E5,0)</f>
        <v>0</v>
      </c>
      <c r="L5" s="48"/>
    </row>
    <row r="6" spans="1:12" x14ac:dyDescent="0.25">
      <c r="A6" s="16">
        <v>5</v>
      </c>
      <c r="B6" s="19">
        <v>45030</v>
      </c>
      <c r="C6" s="23">
        <v>181</v>
      </c>
      <c r="D6" s="39" cm="1">
        <f t="array" ref="D6">VLOOKUP(B6,_xlfn._xlws.FILTER(payterm[],payterm[Customer]=$G$1),3,1)</f>
        <v>30</v>
      </c>
      <c r="E6" s="18">
        <f t="shared" si="0"/>
        <v>45060</v>
      </c>
      <c r="F6" s="19">
        <v>45060</v>
      </c>
      <c r="G6" s="23">
        <v>181</v>
      </c>
      <c r="H6" s="2">
        <f t="shared" si="1"/>
        <v>0</v>
      </c>
      <c r="I6" s="2">
        <f>IF(H6&gt;0,Summary!$C$2-E6,0)</f>
        <v>0</v>
      </c>
      <c r="L6" s="48"/>
    </row>
    <row r="7" spans="1:12" x14ac:dyDescent="0.25">
      <c r="A7" s="16">
        <v>6</v>
      </c>
      <c r="B7" s="19">
        <v>45080</v>
      </c>
      <c r="C7" s="23">
        <v>136</v>
      </c>
      <c r="D7" s="39" cm="1">
        <f t="array" ref="D7">VLOOKUP(B7,_xlfn._xlws.FILTER(payterm[],payterm[Customer]=$G$1),3,1)</f>
        <v>30</v>
      </c>
      <c r="E7" s="18">
        <f t="shared" si="0"/>
        <v>45110</v>
      </c>
      <c r="F7" s="19">
        <v>45110</v>
      </c>
      <c r="G7" s="23">
        <v>136</v>
      </c>
      <c r="H7" s="2">
        <f t="shared" si="1"/>
        <v>0</v>
      </c>
      <c r="I7" s="2">
        <f>IF(H7&gt;0,Summary!$C$2-E7,0)</f>
        <v>0</v>
      </c>
      <c r="L7" s="48"/>
    </row>
    <row r="8" spans="1:12" x14ac:dyDescent="0.25">
      <c r="A8" s="16">
        <v>4</v>
      </c>
      <c r="B8" s="19">
        <v>45139</v>
      </c>
      <c r="C8" s="23">
        <v>168</v>
      </c>
      <c r="D8" s="39" cm="1">
        <f t="array" ref="D8">VLOOKUP(B8,_xlfn._xlws.FILTER(payterm[],payterm[Customer]=$G$1),3,1)</f>
        <v>30</v>
      </c>
      <c r="E8" s="18">
        <f t="shared" si="0"/>
        <v>45169</v>
      </c>
      <c r="F8" s="19"/>
      <c r="G8" s="23"/>
      <c r="H8" s="2">
        <f t="shared" si="1"/>
        <v>168</v>
      </c>
      <c r="I8" s="2">
        <f>IF(H8&gt;0,Summary!$C$2-E8,0)</f>
        <v>33</v>
      </c>
      <c r="L8" s="48"/>
    </row>
    <row r="9" spans="1:12" x14ac:dyDescent="0.25">
      <c r="A9" s="16">
        <v>7</v>
      </c>
      <c r="B9" s="19">
        <v>45152</v>
      </c>
      <c r="C9" s="23">
        <v>112</v>
      </c>
      <c r="D9" s="39" cm="1">
        <f t="array" ref="D9">VLOOKUP(B9,_xlfn._xlws.FILTER(payterm[],payterm[Customer]=$G$1),3,1)</f>
        <v>30</v>
      </c>
      <c r="E9" s="18">
        <f t="shared" si="0"/>
        <v>45182</v>
      </c>
      <c r="F9" s="19">
        <v>45182</v>
      </c>
      <c r="G9" s="23">
        <v>112</v>
      </c>
      <c r="H9" s="2">
        <f t="shared" si="1"/>
        <v>0</v>
      </c>
      <c r="I9" s="2">
        <f>IF(H9&gt;0,Summary!$C$2-E9,0)</f>
        <v>0</v>
      </c>
      <c r="L9" s="48"/>
    </row>
    <row r="10" spans="1:12" x14ac:dyDescent="0.25">
      <c r="A10" s="16">
        <v>1</v>
      </c>
      <c r="B10" s="19">
        <v>45214</v>
      </c>
      <c r="C10" s="23">
        <v>187</v>
      </c>
      <c r="D10" s="39" cm="1">
        <f t="array" ref="D10">VLOOKUP(B10,_xlfn._xlws.FILTER(payterm[],payterm[Customer]=$G$1),3,1)</f>
        <v>35</v>
      </c>
      <c r="E10" s="18">
        <f t="shared" si="0"/>
        <v>45249</v>
      </c>
      <c r="F10" s="19"/>
      <c r="G10" s="23"/>
      <c r="H10" s="2">
        <f t="shared" si="1"/>
        <v>187</v>
      </c>
      <c r="I10" s="2">
        <f>IF(H10&gt;0,Summary!$C$2-E10,0)</f>
        <v>-47</v>
      </c>
      <c r="L10" s="48"/>
    </row>
  </sheetData>
  <pageMargins left="0.7" right="0.7" top="0.75" bottom="0.75" header="0.3" footer="0.3"/>
  <pageSetup orientation="portrait" r:id="rId1"/>
  <ignoredErrors>
    <ignoredError sqref="G4:G10"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
  <sheetViews>
    <sheetView zoomScale="145" zoomScaleNormal="145" workbookViewId="0">
      <selection activeCell="K4" sqref="K4:K10"/>
    </sheetView>
  </sheetViews>
  <sheetFormatPr defaultRowHeight="15" x14ac:dyDescent="0.25"/>
  <cols>
    <col min="1" max="1" width="7.28515625" bestFit="1" customWidth="1"/>
    <col min="2" max="2" width="8.5703125" bestFit="1" customWidth="1"/>
    <col min="3" max="3" width="10.28515625" bestFit="1" customWidth="1"/>
    <col min="4" max="4" width="8.42578125" bestFit="1" customWidth="1"/>
    <col min="5" max="5" width="8.5703125" bestFit="1" customWidth="1"/>
    <col min="6" max="6" width="14.5703125" bestFit="1" customWidth="1"/>
    <col min="7" max="7" width="14.28515625" bestFit="1" customWidth="1"/>
    <col min="8" max="8" width="14.7109375" bestFit="1" customWidth="1"/>
    <col min="9" max="9" width="8.7109375" bestFit="1" customWidth="1"/>
  </cols>
  <sheetData>
    <row r="1" spans="1:9" x14ac:dyDescent="0.25">
      <c r="B1" s="1"/>
      <c r="F1" s="21" t="s">
        <v>18</v>
      </c>
      <c r="G1" s="21" t="s">
        <v>14</v>
      </c>
    </row>
    <row r="2" spans="1:9" x14ac:dyDescent="0.25">
      <c r="C2" s="2">
        <f>SUBTOTAL(9,Hanoi[Amt (USD)])</f>
        <v>3394</v>
      </c>
      <c r="D2" s="2"/>
      <c r="E2" s="2"/>
      <c r="F2" s="2"/>
      <c r="G2" s="2">
        <f>SUBTOTAL(9,Hanoi[Collection Amt])</f>
        <v>3078</v>
      </c>
      <c r="H2" s="2">
        <f>SUBTOTAL(9,Hanoi[Remaining Amt])</f>
        <v>316</v>
      </c>
    </row>
    <row r="3" spans="1:9" x14ac:dyDescent="0.25">
      <c r="A3" t="s">
        <v>21</v>
      </c>
      <c r="B3" t="s">
        <v>22</v>
      </c>
      <c r="C3" t="s">
        <v>23</v>
      </c>
      <c r="D3" t="s">
        <v>27</v>
      </c>
      <c r="E3" t="s">
        <v>24</v>
      </c>
      <c r="F3" t="s">
        <v>3</v>
      </c>
      <c r="G3" t="s">
        <v>25</v>
      </c>
      <c r="H3" t="s">
        <v>26</v>
      </c>
      <c r="I3" t="s">
        <v>2</v>
      </c>
    </row>
    <row r="4" spans="1:9" x14ac:dyDescent="0.25">
      <c r="A4" s="16">
        <v>55</v>
      </c>
      <c r="B4" s="22">
        <v>44944</v>
      </c>
      <c r="C4" s="23">
        <v>587</v>
      </c>
      <c r="D4" s="39" cm="1">
        <f t="array" ref="D4">VLOOKUP(B4,IF($G$1=payterm[Customer],payterm[]),3,1)</f>
        <v>60</v>
      </c>
      <c r="E4" s="18">
        <f t="shared" ref="E4:E10" si="0">D4+B4</f>
        <v>45004</v>
      </c>
      <c r="F4" s="22">
        <v>44989</v>
      </c>
      <c r="G4" s="23">
        <v>587</v>
      </c>
      <c r="H4" s="2">
        <f t="shared" ref="H4:H10" si="1">C4-G4</f>
        <v>0</v>
      </c>
      <c r="I4" s="2">
        <f>IF(H4&gt;0,Summary!$C$2-E4,0)</f>
        <v>0</v>
      </c>
    </row>
    <row r="5" spans="1:9" x14ac:dyDescent="0.25">
      <c r="A5" s="16">
        <v>5</v>
      </c>
      <c r="B5" s="22">
        <v>44987</v>
      </c>
      <c r="C5" s="23">
        <v>190</v>
      </c>
      <c r="D5" s="39" cm="1">
        <f t="array" ref="D5">VLOOKUP(B5,IF($G$1=payterm[Customer],payterm[]),3,1)</f>
        <v>60</v>
      </c>
      <c r="E5" s="18">
        <f t="shared" si="0"/>
        <v>45047</v>
      </c>
      <c r="F5" s="22">
        <v>45032</v>
      </c>
      <c r="G5" s="23">
        <v>190</v>
      </c>
      <c r="H5" s="2">
        <f t="shared" si="1"/>
        <v>0</v>
      </c>
      <c r="I5" s="2">
        <f>IF(H5&gt;0,Summary!$C$2-E5,0)</f>
        <v>0</v>
      </c>
    </row>
    <row r="6" spans="1:9" x14ac:dyDescent="0.25">
      <c r="A6" s="16">
        <v>53</v>
      </c>
      <c r="B6" s="22">
        <v>44993</v>
      </c>
      <c r="C6" s="23">
        <v>484</v>
      </c>
      <c r="D6" s="39" cm="1">
        <f t="array" ref="D6">VLOOKUP(B6,IF($G$1=payterm[Customer],payterm[]),3,1)</f>
        <v>60</v>
      </c>
      <c r="E6" s="18">
        <f t="shared" si="0"/>
        <v>45053</v>
      </c>
      <c r="F6" s="22">
        <v>45038</v>
      </c>
      <c r="G6" s="23">
        <v>484</v>
      </c>
      <c r="H6" s="2">
        <f t="shared" si="1"/>
        <v>0</v>
      </c>
      <c r="I6" s="2">
        <f>IF(H6&gt;0,Summary!$C$2-E6,0)</f>
        <v>0</v>
      </c>
    </row>
    <row r="7" spans="1:9" x14ac:dyDescent="0.25">
      <c r="A7" s="16">
        <v>86</v>
      </c>
      <c r="B7" s="22">
        <v>45050</v>
      </c>
      <c r="C7" s="23">
        <v>958</v>
      </c>
      <c r="D7" s="39" cm="1">
        <f t="array" ref="D7">VLOOKUP(B7,IF($G$1=payterm[Customer],payterm[]),3,1)</f>
        <v>60</v>
      </c>
      <c r="E7" s="18">
        <f t="shared" si="0"/>
        <v>45110</v>
      </c>
      <c r="F7" s="22">
        <v>45095</v>
      </c>
      <c r="G7" s="23">
        <v>958</v>
      </c>
      <c r="H7" s="2">
        <f t="shared" si="1"/>
        <v>0</v>
      </c>
      <c r="I7" s="2">
        <f>IF(H7&gt;0,Summary!$C$2-E7,0)</f>
        <v>0</v>
      </c>
    </row>
    <row r="8" spans="1:9" x14ac:dyDescent="0.25">
      <c r="A8" s="16">
        <v>29</v>
      </c>
      <c r="B8" s="22">
        <v>45070</v>
      </c>
      <c r="C8" s="23">
        <v>859</v>
      </c>
      <c r="D8" s="39" cm="1">
        <f t="array" ref="D8">VLOOKUP(B8,IF($G$1=payterm[Customer],payterm[]),3,1)</f>
        <v>60</v>
      </c>
      <c r="E8" s="18">
        <f t="shared" si="0"/>
        <v>45130</v>
      </c>
      <c r="F8" s="22">
        <v>45115</v>
      </c>
      <c r="G8" s="23">
        <v>859</v>
      </c>
      <c r="H8" s="2">
        <f t="shared" si="1"/>
        <v>0</v>
      </c>
      <c r="I8" s="2">
        <f>IF(H8&gt;0,Summary!$C$2-E8,0)</f>
        <v>0</v>
      </c>
    </row>
    <row r="9" spans="1:9" x14ac:dyDescent="0.25">
      <c r="A9" s="16">
        <v>34</v>
      </c>
      <c r="B9" s="22">
        <v>45134</v>
      </c>
      <c r="C9" s="23">
        <v>146</v>
      </c>
      <c r="D9" s="39" cm="1">
        <f t="array" ref="D9">VLOOKUP(B9,IF($G$1=payterm[Customer],payterm[]),3,1)</f>
        <v>60</v>
      </c>
      <c r="E9" s="18">
        <f t="shared" si="0"/>
        <v>45194</v>
      </c>
      <c r="F9" s="22"/>
      <c r="G9" s="23"/>
      <c r="H9" s="2">
        <f t="shared" si="1"/>
        <v>146</v>
      </c>
      <c r="I9" s="2">
        <f>IF(H9&gt;0,Summary!$C$2-E9,0)</f>
        <v>8</v>
      </c>
    </row>
    <row r="10" spans="1:9" x14ac:dyDescent="0.25">
      <c r="A10" s="16">
        <v>82</v>
      </c>
      <c r="B10" s="22">
        <v>45200</v>
      </c>
      <c r="C10" s="23">
        <v>170</v>
      </c>
      <c r="D10" s="39" cm="1">
        <f t="array" ref="D10">VLOOKUP(B10,IF($G$1=payterm[Customer],payterm[]),3,1)</f>
        <v>60</v>
      </c>
      <c r="E10" s="18">
        <f t="shared" si="0"/>
        <v>45260</v>
      </c>
      <c r="F10" s="22"/>
      <c r="G10" s="23"/>
      <c r="H10" s="2">
        <f t="shared" si="1"/>
        <v>170</v>
      </c>
      <c r="I10" s="2">
        <f>IF(H10&gt;0,Summary!$C$2-E10,0)</f>
        <v>-58</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
  <sheetViews>
    <sheetView zoomScale="145" zoomScaleNormal="145" workbookViewId="0">
      <selection sqref="A1:I1048576"/>
    </sheetView>
  </sheetViews>
  <sheetFormatPr defaultRowHeight="15" x14ac:dyDescent="0.25"/>
  <cols>
    <col min="1" max="1" width="7.28515625" bestFit="1" customWidth="1"/>
    <col min="2" max="2" width="8.5703125" bestFit="1" customWidth="1"/>
    <col min="3" max="3" width="10.28515625" bestFit="1" customWidth="1"/>
    <col min="4" max="4" width="8.42578125" bestFit="1" customWidth="1"/>
    <col min="5" max="5" width="8.5703125" bestFit="1" customWidth="1"/>
    <col min="6" max="6" width="14.5703125" bestFit="1" customWidth="1"/>
    <col min="7" max="7" width="14.28515625" bestFit="1" customWidth="1"/>
    <col min="8" max="8" width="14.7109375" bestFit="1" customWidth="1"/>
    <col min="9" max="9" width="8.7109375" bestFit="1" customWidth="1"/>
  </cols>
  <sheetData>
    <row r="1" spans="1:9" x14ac:dyDescent="0.25">
      <c r="B1" s="1"/>
      <c r="F1" s="21" t="s">
        <v>18</v>
      </c>
      <c r="G1" s="21" t="s">
        <v>15</v>
      </c>
    </row>
    <row r="2" spans="1:9" x14ac:dyDescent="0.25">
      <c r="C2" s="2">
        <f>SUBTOTAL(9,Haiphong[Amt (USD)])</f>
        <v>2567</v>
      </c>
      <c r="D2" s="2"/>
      <c r="E2" s="2"/>
      <c r="F2" s="2"/>
      <c r="G2" s="2">
        <f>SUBTOTAL(9,Haiphong[Collection Amt])</f>
        <v>0</v>
      </c>
      <c r="H2" s="2">
        <f>SUBTOTAL(9,Haiphong[Remaining Amt])</f>
        <v>2567</v>
      </c>
    </row>
    <row r="3" spans="1:9" x14ac:dyDescent="0.25">
      <c r="A3" t="s">
        <v>21</v>
      </c>
      <c r="B3" t="s">
        <v>22</v>
      </c>
      <c r="C3" t="s">
        <v>23</v>
      </c>
      <c r="D3" t="s">
        <v>27</v>
      </c>
      <c r="E3" t="s">
        <v>24</v>
      </c>
      <c r="F3" t="s">
        <v>3</v>
      </c>
      <c r="G3" t="s">
        <v>25</v>
      </c>
      <c r="H3" t="s">
        <v>26</v>
      </c>
      <c r="I3" t="s">
        <v>2</v>
      </c>
    </row>
    <row r="4" spans="1:9" x14ac:dyDescent="0.25">
      <c r="A4" s="16">
        <v>98</v>
      </c>
      <c r="B4" s="22">
        <v>45010</v>
      </c>
      <c r="C4" s="23">
        <v>127</v>
      </c>
      <c r="D4" s="39" cm="1">
        <f t="array" ref="D4">VLOOKUP(B4,IF($G$1=payterm[Customer],payterm[]),3,1)</f>
        <v>45</v>
      </c>
      <c r="E4" s="18">
        <f t="shared" ref="E4:E10" si="0">D4+B4</f>
        <v>45055</v>
      </c>
      <c r="F4" s="22"/>
      <c r="G4" s="17"/>
      <c r="H4" s="2">
        <f t="shared" ref="H4:H10" si="1">C4-G4</f>
        <v>127</v>
      </c>
      <c r="I4" s="2">
        <f>IF(H4&gt;0,Summary!$C$2-E4,0)</f>
        <v>147</v>
      </c>
    </row>
    <row r="5" spans="1:9" x14ac:dyDescent="0.25">
      <c r="A5" s="16">
        <v>87</v>
      </c>
      <c r="B5" s="22">
        <v>45067</v>
      </c>
      <c r="C5" s="23">
        <v>232</v>
      </c>
      <c r="D5" s="39" cm="1">
        <f t="array" ref="D5">VLOOKUP(B5,IF($G$1=payterm[Customer],payterm[]),3,1)</f>
        <v>45</v>
      </c>
      <c r="E5" s="18">
        <f t="shared" si="0"/>
        <v>45112</v>
      </c>
      <c r="F5" s="22"/>
      <c r="G5" s="17"/>
      <c r="H5" s="2">
        <f t="shared" si="1"/>
        <v>232</v>
      </c>
      <c r="I5" s="2">
        <f>IF(H5&gt;0,Summary!$C$2-E5,0)</f>
        <v>90</v>
      </c>
    </row>
    <row r="6" spans="1:9" x14ac:dyDescent="0.25">
      <c r="A6" s="16">
        <v>37</v>
      </c>
      <c r="B6" s="22">
        <v>45074</v>
      </c>
      <c r="C6" s="23">
        <v>387</v>
      </c>
      <c r="D6" s="39" cm="1">
        <f t="array" ref="D6">VLOOKUP(B6,IF($G$1=payterm[Customer],payterm[]),3,1)</f>
        <v>45</v>
      </c>
      <c r="E6" s="18">
        <f t="shared" si="0"/>
        <v>45119</v>
      </c>
      <c r="F6" s="22"/>
      <c r="G6" s="17"/>
      <c r="H6" s="2">
        <f t="shared" si="1"/>
        <v>387</v>
      </c>
      <c r="I6" s="2">
        <f>IF(H6&gt;0,Summary!$C$2-E6,0)</f>
        <v>83</v>
      </c>
    </row>
    <row r="7" spans="1:9" x14ac:dyDescent="0.25">
      <c r="A7" s="16">
        <v>70</v>
      </c>
      <c r="B7" s="22">
        <v>45082</v>
      </c>
      <c r="C7" s="23">
        <v>409</v>
      </c>
      <c r="D7" s="39" cm="1">
        <f t="array" ref="D7">VLOOKUP(B7,IF($G$1=payterm[Customer],payterm[]),3,1)</f>
        <v>45</v>
      </c>
      <c r="E7" s="18">
        <f t="shared" si="0"/>
        <v>45127</v>
      </c>
      <c r="F7" s="22"/>
      <c r="G7" s="17"/>
      <c r="H7" s="2">
        <f t="shared" si="1"/>
        <v>409</v>
      </c>
      <c r="I7" s="2">
        <f>IF(H7&gt;0,Summary!$C$2-E7,0)</f>
        <v>75</v>
      </c>
    </row>
    <row r="8" spans="1:9" x14ac:dyDescent="0.25">
      <c r="A8" s="16">
        <v>12</v>
      </c>
      <c r="B8" s="22">
        <v>45102</v>
      </c>
      <c r="C8" s="23">
        <v>887</v>
      </c>
      <c r="D8" s="39" cm="1">
        <f t="array" ref="D8">VLOOKUP(B8,IF($G$1=payterm[Customer],payterm[]),3,1)</f>
        <v>45</v>
      </c>
      <c r="E8" s="18">
        <f t="shared" si="0"/>
        <v>45147</v>
      </c>
      <c r="F8" s="22"/>
      <c r="G8" s="17"/>
      <c r="H8" s="2">
        <f t="shared" si="1"/>
        <v>887</v>
      </c>
      <c r="I8" s="2">
        <f>IF(H8&gt;0,Summary!$C$2-E8,0)</f>
        <v>55</v>
      </c>
    </row>
    <row r="9" spans="1:9" x14ac:dyDescent="0.25">
      <c r="A9" s="16">
        <v>83</v>
      </c>
      <c r="B9" s="22">
        <v>45126</v>
      </c>
      <c r="C9" s="23">
        <v>115</v>
      </c>
      <c r="D9" s="39" cm="1">
        <f t="array" ref="D9">VLOOKUP(B9,IF($G$1=payterm[Customer],payterm[]),3,1)</f>
        <v>45</v>
      </c>
      <c r="E9" s="18">
        <f t="shared" si="0"/>
        <v>45171</v>
      </c>
      <c r="F9" s="22"/>
      <c r="G9" s="17"/>
      <c r="H9" s="2">
        <f t="shared" si="1"/>
        <v>115</v>
      </c>
      <c r="I9" s="2">
        <f>IF(H9&gt;0,Summary!$C$2-E9,0)</f>
        <v>31</v>
      </c>
    </row>
    <row r="10" spans="1:9" x14ac:dyDescent="0.25">
      <c r="A10" s="16">
        <v>46</v>
      </c>
      <c r="B10" s="22">
        <v>45200</v>
      </c>
      <c r="C10" s="23">
        <v>410</v>
      </c>
      <c r="D10" s="39" cm="1">
        <f t="array" ref="D10">VLOOKUP(B10,IF($G$1=payterm[Customer],payterm[]),3,1)</f>
        <v>35</v>
      </c>
      <c r="E10" s="18">
        <f t="shared" si="0"/>
        <v>45235</v>
      </c>
      <c r="F10" s="22"/>
      <c r="G10" s="17"/>
      <c r="H10" s="2">
        <f t="shared" si="1"/>
        <v>410</v>
      </c>
      <c r="I10" s="2">
        <f>IF(H10&gt;0,Summary!$C$2-E10,0)</f>
        <v>-33</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zoomScale="145" zoomScaleNormal="145" workbookViewId="0">
      <selection activeCell="C6" sqref="C4:C10"/>
    </sheetView>
  </sheetViews>
  <sheetFormatPr defaultRowHeight="15" x14ac:dyDescent="0.25"/>
  <cols>
    <col min="1" max="1" width="7.28515625" bestFit="1" customWidth="1"/>
    <col min="2" max="2" width="8.5703125" bestFit="1" customWidth="1"/>
    <col min="3" max="3" width="10.28515625" bestFit="1" customWidth="1"/>
    <col min="4" max="4" width="8.42578125" bestFit="1" customWidth="1"/>
    <col min="5" max="5" width="8.5703125" bestFit="1" customWidth="1"/>
    <col min="6" max="6" width="14.5703125" bestFit="1" customWidth="1"/>
    <col min="7" max="7" width="14.28515625" bestFit="1" customWidth="1"/>
    <col min="8" max="8" width="14.7109375" bestFit="1" customWidth="1"/>
    <col min="9" max="9" width="8.7109375" bestFit="1" customWidth="1"/>
  </cols>
  <sheetData>
    <row r="1" spans="1:9" x14ac:dyDescent="0.25">
      <c r="B1" s="1"/>
      <c r="F1" s="21" t="s">
        <v>18</v>
      </c>
      <c r="G1" s="21" t="s">
        <v>16</v>
      </c>
    </row>
    <row r="2" spans="1:9" x14ac:dyDescent="0.25">
      <c r="C2" s="2">
        <f>SUBTOTAL(9,Quangninh[Amt (USD)])</f>
        <v>5098</v>
      </c>
      <c r="D2" s="2"/>
      <c r="E2" s="2"/>
      <c r="F2" s="2"/>
      <c r="G2" s="2">
        <f>SUBTOTAL(9,Quangninh[Collection Amt])</f>
        <v>2639</v>
      </c>
      <c r="H2" s="2">
        <f>SUBTOTAL(9,Quangninh[Remaining Amt])</f>
        <v>2459</v>
      </c>
    </row>
    <row r="3" spans="1:9" x14ac:dyDescent="0.25">
      <c r="A3" t="s">
        <v>21</v>
      </c>
      <c r="B3" t="s">
        <v>22</v>
      </c>
      <c r="C3" t="s">
        <v>23</v>
      </c>
      <c r="D3" t="s">
        <v>27</v>
      </c>
      <c r="E3" t="s">
        <v>24</v>
      </c>
      <c r="F3" t="s">
        <v>3</v>
      </c>
      <c r="G3" t="s">
        <v>25</v>
      </c>
      <c r="H3" t="s">
        <v>26</v>
      </c>
      <c r="I3" t="s">
        <v>2</v>
      </c>
    </row>
    <row r="4" spans="1:9" x14ac:dyDescent="0.25">
      <c r="A4" s="16">
        <v>52</v>
      </c>
      <c r="B4" s="22">
        <v>44965</v>
      </c>
      <c r="C4" s="23">
        <v>951</v>
      </c>
      <c r="D4" s="39" cm="1">
        <f t="array" ref="D4">VLOOKUP(B4,IF($G$1=payterm[Customer],payterm[]),3,1)</f>
        <v>30</v>
      </c>
      <c r="E4" s="18">
        <f t="shared" ref="E4:E10" si="0">D4+B4</f>
        <v>44995</v>
      </c>
      <c r="F4" s="22">
        <v>45197</v>
      </c>
      <c r="G4" s="23">
        <v>951</v>
      </c>
      <c r="H4" s="2">
        <f t="shared" ref="H4:H10" si="1">C4-G4</f>
        <v>0</v>
      </c>
      <c r="I4" s="2">
        <f>IF(H4&gt;0,Summary!$C$2-E4,0)</f>
        <v>0</v>
      </c>
    </row>
    <row r="5" spans="1:9" x14ac:dyDescent="0.25">
      <c r="A5" s="16">
        <v>47</v>
      </c>
      <c r="B5" s="22">
        <v>44981</v>
      </c>
      <c r="C5" s="23">
        <v>662</v>
      </c>
      <c r="D5" s="39" cm="1">
        <f t="array" ref="D5">VLOOKUP(B5,IF($G$1=payterm[Customer],payterm[]),3,1)</f>
        <v>30</v>
      </c>
      <c r="E5" s="18">
        <f t="shared" si="0"/>
        <v>45011</v>
      </c>
      <c r="F5" s="22">
        <v>45197</v>
      </c>
      <c r="G5" s="23">
        <v>662</v>
      </c>
      <c r="H5" s="2">
        <f t="shared" si="1"/>
        <v>0</v>
      </c>
      <c r="I5" s="2">
        <f>IF(H5&gt;0,Summary!$C$2-E5,0)</f>
        <v>0</v>
      </c>
    </row>
    <row r="6" spans="1:9" x14ac:dyDescent="0.25">
      <c r="A6" s="16">
        <v>28</v>
      </c>
      <c r="B6" s="22">
        <v>44981</v>
      </c>
      <c r="C6" s="23">
        <v>594</v>
      </c>
      <c r="D6" s="39" cm="1">
        <f t="array" ref="D6">VLOOKUP(B6,IF($G$1=payterm[Customer],payterm[]),3,1)</f>
        <v>30</v>
      </c>
      <c r="E6" s="18">
        <f t="shared" si="0"/>
        <v>45011</v>
      </c>
      <c r="F6" s="22">
        <v>45197</v>
      </c>
      <c r="G6" s="23">
        <v>594</v>
      </c>
      <c r="H6" s="2">
        <f t="shared" si="1"/>
        <v>0</v>
      </c>
      <c r="I6" s="2">
        <f>IF(H6&gt;0,Summary!$C$2-E6,0)</f>
        <v>0</v>
      </c>
    </row>
    <row r="7" spans="1:9" x14ac:dyDescent="0.25">
      <c r="A7" s="16">
        <v>66</v>
      </c>
      <c r="B7" s="22">
        <v>45025</v>
      </c>
      <c r="C7" s="23">
        <v>838</v>
      </c>
      <c r="D7" s="39" cm="1">
        <f t="array" ref="D7">VLOOKUP(B7,IF($G$1=payterm[Customer],payterm[]),3,1)</f>
        <v>30</v>
      </c>
      <c r="E7" s="18">
        <f t="shared" si="0"/>
        <v>45055</v>
      </c>
      <c r="F7" s="22"/>
      <c r="G7" s="23"/>
      <c r="H7" s="2">
        <f t="shared" si="1"/>
        <v>838</v>
      </c>
      <c r="I7" s="2">
        <f>IF(H7&gt;0,Summary!$C$2-E7,0)</f>
        <v>147</v>
      </c>
    </row>
    <row r="8" spans="1:9" x14ac:dyDescent="0.25">
      <c r="A8" s="16">
        <v>11</v>
      </c>
      <c r="B8" s="22">
        <v>45039</v>
      </c>
      <c r="C8" s="23">
        <v>781</v>
      </c>
      <c r="D8" s="39" cm="1">
        <f t="array" ref="D8">VLOOKUP(B8,IF($G$1=payterm[Customer],payterm[]),3,1)</f>
        <v>30</v>
      </c>
      <c r="E8" s="18">
        <f t="shared" si="0"/>
        <v>45069</v>
      </c>
      <c r="F8" s="22"/>
      <c r="G8" s="23"/>
      <c r="H8" s="2">
        <f t="shared" si="1"/>
        <v>781</v>
      </c>
      <c r="I8" s="2">
        <f>IF(H8&gt;0,Summary!$C$2-E8,0)</f>
        <v>133</v>
      </c>
    </row>
    <row r="9" spans="1:9" x14ac:dyDescent="0.25">
      <c r="A9" s="16">
        <v>6</v>
      </c>
      <c r="B9" s="22">
        <v>45067</v>
      </c>
      <c r="C9" s="23">
        <v>840</v>
      </c>
      <c r="D9" s="39" cm="1">
        <f t="array" ref="D9">VLOOKUP(B9,IF($G$1=payterm[Customer],payterm[]),3,1)</f>
        <v>30</v>
      </c>
      <c r="E9" s="18">
        <f t="shared" si="0"/>
        <v>45097</v>
      </c>
      <c r="F9" s="22"/>
      <c r="G9" s="23"/>
      <c r="H9" s="2">
        <f t="shared" si="1"/>
        <v>840</v>
      </c>
      <c r="I9" s="2">
        <f>IF(H9&gt;0,Summary!$C$2-E9,0)</f>
        <v>105</v>
      </c>
    </row>
    <row r="10" spans="1:9" x14ac:dyDescent="0.25">
      <c r="A10" s="16">
        <v>48</v>
      </c>
      <c r="B10" s="22">
        <v>45200</v>
      </c>
      <c r="C10" s="23">
        <v>432</v>
      </c>
      <c r="D10" s="39" cm="1">
        <f t="array" ref="D10">VLOOKUP(B10,IF($G$1=payterm[Customer],payterm[]),3,1)</f>
        <v>30</v>
      </c>
      <c r="E10" s="18">
        <f t="shared" si="0"/>
        <v>45230</v>
      </c>
      <c r="F10" s="22">
        <v>45197</v>
      </c>
      <c r="G10" s="23">
        <v>432</v>
      </c>
      <c r="H10" s="2">
        <f t="shared" si="1"/>
        <v>0</v>
      </c>
      <c r="I10" s="2">
        <f>IF(H10&gt;0,Summary!$C$2-E10,0)</f>
        <v>0</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
  <sheetViews>
    <sheetView zoomScale="145" zoomScaleNormal="145" workbookViewId="0">
      <selection activeCell="D4" sqref="D4"/>
    </sheetView>
  </sheetViews>
  <sheetFormatPr defaultRowHeight="15" x14ac:dyDescent="0.25"/>
  <cols>
    <col min="1" max="1" width="7.28515625" bestFit="1" customWidth="1"/>
    <col min="2" max="2" width="8.5703125" bestFit="1" customWidth="1"/>
    <col min="3" max="3" width="10.28515625" bestFit="1" customWidth="1"/>
    <col min="4" max="4" width="8.42578125" bestFit="1" customWidth="1"/>
    <col min="5" max="5" width="8.5703125" bestFit="1" customWidth="1"/>
    <col min="6" max="6" width="14.5703125" bestFit="1" customWidth="1"/>
    <col min="7" max="7" width="14.28515625" bestFit="1" customWidth="1"/>
    <col min="8" max="8" width="14.7109375" bestFit="1" customWidth="1"/>
    <col min="9" max="9" width="8.7109375" bestFit="1" customWidth="1"/>
  </cols>
  <sheetData>
    <row r="1" spans="1:9" x14ac:dyDescent="0.25">
      <c r="B1" s="1"/>
      <c r="F1" s="20" t="s">
        <v>18</v>
      </c>
      <c r="G1" s="20" t="s">
        <v>17</v>
      </c>
    </row>
    <row r="2" spans="1:9" x14ac:dyDescent="0.25">
      <c r="C2" s="2">
        <f>SUBTOTAL(9,Danang[Amt (USD)])</f>
        <v>4514</v>
      </c>
      <c r="D2" s="2"/>
      <c r="E2" s="2"/>
      <c r="F2" s="2"/>
      <c r="G2" s="2">
        <f>SUBTOTAL(9,Danang[Collection Amt])</f>
        <v>2560</v>
      </c>
      <c r="H2" s="2">
        <f>SUBTOTAL(9,Danang[Remaining Amt])</f>
        <v>1954</v>
      </c>
    </row>
    <row r="3" spans="1:9" x14ac:dyDescent="0.25">
      <c r="A3" t="s">
        <v>21</v>
      </c>
      <c r="B3" t="s">
        <v>22</v>
      </c>
      <c r="C3" t="s">
        <v>23</v>
      </c>
      <c r="D3" t="s">
        <v>27</v>
      </c>
      <c r="E3" t="s">
        <v>24</v>
      </c>
      <c r="F3" t="s">
        <v>3</v>
      </c>
      <c r="G3" t="s">
        <v>25</v>
      </c>
      <c r="H3" t="s">
        <v>26</v>
      </c>
      <c r="I3" t="s">
        <v>2</v>
      </c>
    </row>
    <row r="4" spans="1:9" x14ac:dyDescent="0.25">
      <c r="A4" s="16">
        <v>30</v>
      </c>
      <c r="B4" s="22">
        <v>44969</v>
      </c>
      <c r="C4" s="23">
        <v>844</v>
      </c>
      <c r="D4" s="39" cm="1">
        <f t="array" ref="D4">VLOOKUP(B4,IF($G$1=payterm[Customer],payterm[]),3,1)</f>
        <v>20</v>
      </c>
      <c r="E4" s="18">
        <f t="shared" ref="E4:E10" si="0">D4+B4</f>
        <v>44989</v>
      </c>
      <c r="F4" s="22">
        <v>44999</v>
      </c>
      <c r="G4" s="23">
        <v>844</v>
      </c>
      <c r="H4" s="2">
        <f t="shared" ref="H4:H10" si="1">C4-G4</f>
        <v>0</v>
      </c>
      <c r="I4" s="2">
        <f>IF(H4&gt;0,Summary!$C$2-E4,0)</f>
        <v>0</v>
      </c>
    </row>
    <row r="5" spans="1:9" x14ac:dyDescent="0.25">
      <c r="A5" s="16">
        <v>40</v>
      </c>
      <c r="B5" s="22">
        <v>45128</v>
      </c>
      <c r="C5" s="23">
        <v>396</v>
      </c>
      <c r="D5" s="39" cm="1">
        <f t="array" ref="D5">VLOOKUP(B5,IF($G$1=payterm[Customer],payterm[]),3,1)</f>
        <v>20</v>
      </c>
      <c r="E5" s="18">
        <f t="shared" si="0"/>
        <v>45148</v>
      </c>
      <c r="F5" s="22"/>
      <c r="G5" s="23"/>
      <c r="H5" s="2">
        <f t="shared" si="1"/>
        <v>396</v>
      </c>
      <c r="I5" s="2">
        <f>IF(H5&gt;0,Summary!$C$2-E5,0)</f>
        <v>54</v>
      </c>
    </row>
    <row r="6" spans="1:9" x14ac:dyDescent="0.25">
      <c r="A6" s="16">
        <v>76</v>
      </c>
      <c r="B6" s="22">
        <v>45039</v>
      </c>
      <c r="C6" s="23">
        <v>391</v>
      </c>
      <c r="D6" s="39" cm="1">
        <f t="array" ref="D6">VLOOKUP(B6,IF($G$1=payterm[Customer],payterm[]),3,1)</f>
        <v>20</v>
      </c>
      <c r="E6" s="18">
        <f t="shared" si="0"/>
        <v>45059</v>
      </c>
      <c r="F6" s="22">
        <v>45069</v>
      </c>
      <c r="G6" s="23">
        <v>391</v>
      </c>
      <c r="H6" s="2">
        <f t="shared" si="1"/>
        <v>0</v>
      </c>
      <c r="I6" s="2">
        <f>IF(H6&gt;0,Summary!$C$2-E6,0)</f>
        <v>0</v>
      </c>
    </row>
    <row r="7" spans="1:9" x14ac:dyDescent="0.25">
      <c r="A7" s="16">
        <v>57</v>
      </c>
      <c r="B7" s="22">
        <v>44982</v>
      </c>
      <c r="C7" s="23">
        <v>946</v>
      </c>
      <c r="D7" s="39" cm="1">
        <f t="array" ref="D7">VLOOKUP(B7,IF($G$1=payterm[Customer],payterm[]),3,1)</f>
        <v>20</v>
      </c>
      <c r="E7" s="18">
        <f t="shared" si="0"/>
        <v>45002</v>
      </c>
      <c r="F7" s="22">
        <v>45012</v>
      </c>
      <c r="G7" s="23">
        <v>946</v>
      </c>
      <c r="H7" s="2">
        <f t="shared" si="1"/>
        <v>0</v>
      </c>
      <c r="I7" s="2">
        <f>IF(H7&gt;0,Summary!$C$2-E7,0)</f>
        <v>0</v>
      </c>
    </row>
    <row r="8" spans="1:9" x14ac:dyDescent="0.25">
      <c r="A8" s="16">
        <v>39</v>
      </c>
      <c r="B8" s="22">
        <v>45005</v>
      </c>
      <c r="C8" s="23">
        <v>379</v>
      </c>
      <c r="D8" s="39" cm="1">
        <f t="array" ref="D8">VLOOKUP(B8,IF($G$1=payterm[Customer],payterm[]),3,1)</f>
        <v>20</v>
      </c>
      <c r="E8" s="18">
        <f t="shared" si="0"/>
        <v>45025</v>
      </c>
      <c r="F8" s="22">
        <v>45035</v>
      </c>
      <c r="G8" s="23">
        <v>379</v>
      </c>
      <c r="H8" s="2">
        <f t="shared" si="1"/>
        <v>0</v>
      </c>
      <c r="I8" s="2">
        <f>IF(H8&gt;0,Summary!$C$2-E8,0)</f>
        <v>0</v>
      </c>
    </row>
    <row r="9" spans="1:9" x14ac:dyDescent="0.25">
      <c r="A9" s="16">
        <v>8</v>
      </c>
      <c r="B9" s="22">
        <v>45189</v>
      </c>
      <c r="C9" s="23">
        <v>712</v>
      </c>
      <c r="D9" s="39" cm="1">
        <f t="array" ref="D9">VLOOKUP(B9,IF($G$1=payterm[Customer],payterm[]),3,1)</f>
        <v>20</v>
      </c>
      <c r="E9" s="18">
        <f t="shared" si="0"/>
        <v>45209</v>
      </c>
      <c r="F9" s="22"/>
      <c r="G9" s="23"/>
      <c r="H9" s="2">
        <f t="shared" si="1"/>
        <v>712</v>
      </c>
      <c r="I9" s="2">
        <f>IF(H9&gt;0,Summary!$C$2-E9,0)</f>
        <v>-7</v>
      </c>
    </row>
    <row r="10" spans="1:9" x14ac:dyDescent="0.25">
      <c r="A10" s="16">
        <v>86</v>
      </c>
      <c r="B10" s="22">
        <v>45200</v>
      </c>
      <c r="C10" s="23">
        <v>846</v>
      </c>
      <c r="D10" s="39" cm="1">
        <f t="array" ref="D10">VLOOKUP(B10,IF($G$1=payterm[Customer],payterm[]),3,1)</f>
        <v>20</v>
      </c>
      <c r="E10" s="18">
        <f t="shared" si="0"/>
        <v>45220</v>
      </c>
      <c r="F10" s="22"/>
      <c r="G10" s="23"/>
      <c r="H10" s="2">
        <f t="shared" si="1"/>
        <v>846</v>
      </c>
      <c r="I10" s="2">
        <f>IF(H10&gt;0,Summary!$C$2-E10,0)</f>
        <v>-18</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FECB-E582-4202-BDFA-23AA37EAAE50}">
  <sheetPr>
    <tabColor theme="0" tint="-0.249977111117893"/>
  </sheetPr>
  <dimension ref="A1:F8"/>
  <sheetViews>
    <sheetView zoomScale="130" zoomScaleNormal="130" workbookViewId="0">
      <selection activeCell="A7" sqref="A7:C7"/>
    </sheetView>
  </sheetViews>
  <sheetFormatPr defaultRowHeight="15" x14ac:dyDescent="0.25"/>
  <cols>
    <col min="1" max="1" width="13.5703125" customWidth="1"/>
    <col min="2" max="2" width="10.85546875" customWidth="1"/>
    <col min="3" max="3" width="14.85546875" customWidth="1"/>
    <col min="6" max="7" width="11.28515625" bestFit="1" customWidth="1"/>
  </cols>
  <sheetData>
    <row r="1" spans="1:6" x14ac:dyDescent="0.25">
      <c r="A1" t="s">
        <v>19</v>
      </c>
      <c r="B1" t="s">
        <v>0</v>
      </c>
      <c r="C1" t="s">
        <v>1</v>
      </c>
    </row>
    <row r="2" spans="1:6" x14ac:dyDescent="0.25">
      <c r="A2" s="52">
        <v>44927</v>
      </c>
      <c r="B2" s="47" t="s">
        <v>13</v>
      </c>
      <c r="C2" s="47">
        <v>30</v>
      </c>
    </row>
    <row r="3" spans="1:6" x14ac:dyDescent="0.25">
      <c r="A3" s="4">
        <v>44927</v>
      </c>
      <c r="B3" t="s">
        <v>14</v>
      </c>
      <c r="C3">
        <v>60</v>
      </c>
      <c r="F3" s="4"/>
    </row>
    <row r="4" spans="1:6" x14ac:dyDescent="0.25">
      <c r="A4" s="4">
        <v>44927</v>
      </c>
      <c r="B4" t="s">
        <v>15</v>
      </c>
      <c r="C4">
        <v>45</v>
      </c>
      <c r="F4" s="4"/>
    </row>
    <row r="5" spans="1:6" x14ac:dyDescent="0.25">
      <c r="A5" s="4">
        <v>44927</v>
      </c>
      <c r="B5" t="s">
        <v>16</v>
      </c>
      <c r="C5">
        <v>30</v>
      </c>
    </row>
    <row r="6" spans="1:6" x14ac:dyDescent="0.25">
      <c r="A6" s="4">
        <v>44927</v>
      </c>
      <c r="B6" t="s">
        <v>17</v>
      </c>
      <c r="C6">
        <v>20</v>
      </c>
    </row>
    <row r="7" spans="1:6" x14ac:dyDescent="0.25">
      <c r="A7" s="52">
        <v>45200</v>
      </c>
      <c r="B7" s="47" t="s">
        <v>13</v>
      </c>
      <c r="C7" s="47">
        <v>35</v>
      </c>
    </row>
    <row r="8" spans="1:6" x14ac:dyDescent="0.25">
      <c r="A8" s="4">
        <v>45200</v>
      </c>
      <c r="B8" t="s">
        <v>15</v>
      </c>
      <c r="C8">
        <v>35</v>
      </c>
    </row>
  </sheetData>
  <dataValidations count="1">
    <dataValidation type="custom" allowBlank="1" showInputMessage="1" showErrorMessage="1" sqref="A2:A3 A4:A8" xr:uid="{569C1826-524D-4FD3-8C46-050F93947A9F}">
      <formula1>COUNTIFS(INDIRECT("payterm[Customer]"),$B2,INDIRECT("payterm[Applied date]"),$A2)=1</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Chart</vt:lpstr>
      <vt:lpstr>Historical</vt:lpstr>
      <vt:lpstr>Summary</vt:lpstr>
      <vt:lpstr>Summary (2)</vt:lpstr>
      <vt:lpstr>Bacgiang</vt:lpstr>
      <vt:lpstr>Hanoi</vt:lpstr>
      <vt:lpstr>Haiphong</vt:lpstr>
      <vt:lpstr>Quangninh</vt:lpstr>
      <vt:lpstr>Danang</vt:lpstr>
      <vt:lpstr>Payment_term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Ngoc Trung</dc:creator>
  <cp:lastModifiedBy>Trần  Trung</cp:lastModifiedBy>
  <cp:lastPrinted>2021-09-28T04:46:07Z</cp:lastPrinted>
  <dcterms:created xsi:type="dcterms:W3CDTF">2021-09-28T02:15:55Z</dcterms:created>
  <dcterms:modified xsi:type="dcterms:W3CDTF">2023-11-20T13:57:00Z</dcterms:modified>
</cp:coreProperties>
</file>