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D:\Documents\Viec ca nhan\Start-up dao tao Excel C&amp;B\Dao tao Nhan su - C&amp;B\Mau bang luong va VD tinh luong\_BM luong\"/>
    </mc:Choice>
  </mc:AlternateContent>
  <xr:revisionPtr revIDLastSave="0" documentId="13_ncr:1_{C4AED6AD-3DFA-4D0B-8270-D3A020CC39CD}" xr6:coauthVersionLast="45" xr6:coauthVersionMax="45" xr10:uidLastSave="{00000000-0000-0000-0000-000000000000}"/>
  <bookViews>
    <workbookView xWindow="-120" yWindow="-120" windowWidth="21840" windowHeight="13140" tabRatio="683" xr2:uid="{00000000-000D-0000-FFFF-FFFF00000000}"/>
  </bookViews>
  <sheets>
    <sheet name="HDSD" sheetId="18" r:id="rId1"/>
    <sheet name="IV.Dashboard" sheetId="19" r:id="rId2"/>
    <sheet name="DB's Data" sheetId="23" state="hidden" r:id="rId3"/>
    <sheet name="III.Report năm" sheetId="11" r:id="rId4"/>
    <sheet name="II.Theo dõi sổ thẻ" sheetId="17" r:id="rId5"/>
    <sheet name="I.QTBH" sheetId="21" r:id="rId6"/>
    <sheet name="Cách Suy nghĩ" sheetId="22" state="hidden" r:id="rId7"/>
  </sheets>
  <definedNames>
    <definedName name="_xlnm._FilterDatabase" localSheetId="6" hidden="1">'Cách Suy nghĩ'!$A$2:$AL$43</definedName>
    <definedName name="_xlnm._FilterDatabase" localSheetId="5" hidden="1">I.QTBH!$A$7:$CC$21</definedName>
    <definedName name="_xlnm._FilterDatabase" localSheetId="4" hidden="1">'II.Theo dõi sổ thẻ'!$A$5:$I$5</definedName>
    <definedName name="_xlnm._FilterDatabase" localSheetId="3" hidden="1">'III.Report năm'!$C$10:$Y$20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9" l="1"/>
  <c r="C5" i="19"/>
  <c r="CA16" i="21"/>
  <c r="CB16" i="21" s="1"/>
  <c r="A16" i="21"/>
  <c r="F16" i="21"/>
  <c r="R16" i="21"/>
  <c r="AO16" i="21" s="1"/>
  <c r="BB16" i="21" s="1"/>
  <c r="S16" i="21"/>
  <c r="X16" i="21"/>
  <c r="Y16" i="21"/>
  <c r="Z16" i="21"/>
  <c r="AA16" i="21"/>
  <c r="AB16" i="21"/>
  <c r="AC16" i="21"/>
  <c r="AD16" i="21"/>
  <c r="AE16" i="21"/>
  <c r="AF16" i="21"/>
  <c r="AG16" i="21"/>
  <c r="AH16" i="21"/>
  <c r="AI16" i="21"/>
  <c r="AJ16" i="21"/>
  <c r="AK16" i="21"/>
  <c r="AL16" i="21"/>
  <c r="BN16" i="21"/>
  <c r="BR16" i="21"/>
  <c r="BU16" i="21"/>
  <c r="BZ16" i="21"/>
  <c r="CC16" i="21" l="1"/>
  <c r="AU16" i="21"/>
  <c r="BH16" i="21" s="1"/>
  <c r="AT16" i="21"/>
  <c r="BG16" i="21" s="1"/>
  <c r="AR16" i="21"/>
  <c r="BE16" i="21" s="1"/>
  <c r="AQ16" i="21"/>
  <c r="BD16" i="21" s="1"/>
  <c r="AV16" i="21"/>
  <c r="BI16" i="21" s="1"/>
  <c r="AP16" i="21"/>
  <c r="BC16" i="21" s="1"/>
  <c r="AY16" i="21"/>
  <c r="BL16" i="21" s="1"/>
  <c r="AN16" i="21"/>
  <c r="BA16" i="21" s="1"/>
  <c r="AX16" i="21"/>
  <c r="BK16" i="21" s="1"/>
  <c r="AM16" i="21"/>
  <c r="AZ16" i="21" s="1"/>
  <c r="AS16" i="21"/>
  <c r="BF16" i="21" s="1"/>
  <c r="AW16" i="21"/>
  <c r="BJ16" i="21" s="1"/>
  <c r="L3" i="23"/>
  <c r="M3" i="23"/>
  <c r="C3" i="23"/>
  <c r="D3" i="23"/>
  <c r="E3" i="23"/>
  <c r="F3" i="23"/>
  <c r="G3" i="23"/>
  <c r="H3" i="23"/>
  <c r="I3" i="23"/>
  <c r="J3" i="23"/>
  <c r="K3" i="23"/>
  <c r="B3" i="23"/>
  <c r="BR9" i="21"/>
  <c r="BR10" i="21"/>
  <c r="BR11" i="21"/>
  <c r="BR12" i="21"/>
  <c r="BR13" i="21"/>
  <c r="BR14" i="21"/>
  <c r="BR15" i="21"/>
  <c r="BR17" i="21"/>
  <c r="BR18" i="21"/>
  <c r="BR19" i="21"/>
  <c r="BR20" i="21"/>
  <c r="M4" i="19" l="1"/>
  <c r="CA20" i="21"/>
  <c r="CA19" i="21"/>
  <c r="CB19" i="21" s="1"/>
  <c r="BZ19" i="21"/>
  <c r="BZ20" i="21"/>
  <c r="CA18" i="21"/>
  <c r="CA17" i="21"/>
  <c r="CA15" i="21"/>
  <c r="CA14" i="21"/>
  <c r="CA13" i="21"/>
  <c r="CA12" i="21"/>
  <c r="CA11" i="21"/>
  <c r="CA10" i="21"/>
  <c r="CA9" i="21"/>
  <c r="CC9" i="21" s="1"/>
  <c r="CA8" i="21"/>
  <c r="CC19" i="21" l="1"/>
  <c r="AJ11" i="22" l="1"/>
  <c r="AJ9" i="22"/>
  <c r="AJ8" i="22"/>
  <c r="AJ10" i="22"/>
  <c r="AJ12" i="22"/>
  <c r="Q5" i="19" l="1"/>
  <c r="T9" i="19"/>
  <c r="Q9" i="19"/>
  <c r="T5" i="19"/>
  <c r="B2" i="11"/>
  <c r="X9" i="21"/>
  <c r="Y9" i="21"/>
  <c r="X10" i="21"/>
  <c r="Y10" i="21"/>
  <c r="X11" i="21"/>
  <c r="Y11" i="21"/>
  <c r="X12" i="21"/>
  <c r="Y12" i="21"/>
  <c r="X13" i="21"/>
  <c r="Y13" i="21"/>
  <c r="X14" i="21"/>
  <c r="Y14" i="21"/>
  <c r="X15" i="21"/>
  <c r="Y15" i="21"/>
  <c r="X17" i="21"/>
  <c r="Y17" i="21"/>
  <c r="X18" i="21"/>
  <c r="Y18" i="21"/>
  <c r="X19" i="21"/>
  <c r="Y19" i="21"/>
  <c r="X20" i="21"/>
  <c r="Y20" i="21"/>
  <c r="Y8" i="21"/>
  <c r="X8" i="21"/>
  <c r="R15" i="21"/>
  <c r="S15" i="21"/>
  <c r="A15" i="21"/>
  <c r="BN22" i="21"/>
  <c r="BN23" i="21"/>
  <c r="BN24" i="21"/>
  <c r="BN25" i="21"/>
  <c r="BN26" i="21"/>
  <c r="BZ13" i="21"/>
  <c r="CB13" i="21"/>
  <c r="CC13" i="21"/>
  <c r="BU13" i="21"/>
  <c r="BZ14" i="21"/>
  <c r="CB14" i="21"/>
  <c r="CC14" i="21"/>
  <c r="BU14" i="21"/>
  <c r="BZ15" i="21"/>
  <c r="CB15" i="21"/>
  <c r="CC15" i="21"/>
  <c r="BU15" i="21"/>
  <c r="BZ17" i="21"/>
  <c r="CB17" i="21"/>
  <c r="CC17" i="21"/>
  <c r="BU17" i="21"/>
  <c r="BZ18" i="21"/>
  <c r="CB18" i="21"/>
  <c r="CC18" i="21"/>
  <c r="BU18" i="21"/>
  <c r="CC12" i="21"/>
  <c r="CB12" i="21"/>
  <c r="CC11" i="21"/>
  <c r="CB11" i="21"/>
  <c r="CC10" i="21"/>
  <c r="CB10" i="21"/>
  <c r="CC8" i="21"/>
  <c r="CB8" i="21"/>
  <c r="CB9" i="21"/>
  <c r="BU9" i="21"/>
  <c r="BU10" i="21"/>
  <c r="BU11" i="21"/>
  <c r="BU12" i="21"/>
  <c r="BU8" i="21"/>
  <c r="BZ9" i="21"/>
  <c r="BZ10" i="21"/>
  <c r="BZ11" i="21"/>
  <c r="BZ12" i="21"/>
  <c r="BZ8" i="21"/>
  <c r="BN8" i="21"/>
  <c r="BR8" i="21"/>
  <c r="BN9" i="21"/>
  <c r="BN10" i="21"/>
  <c r="BN11" i="21"/>
  <c r="BN12" i="21"/>
  <c r="BN13" i="21"/>
  <c r="BN14" i="21"/>
  <c r="BN15" i="21"/>
  <c r="BN17" i="21"/>
  <c r="BN18" i="21"/>
  <c r="BN19" i="21"/>
  <c r="BN20" i="21"/>
  <c r="BN21" i="21"/>
  <c r="R14" i="21"/>
  <c r="S14" i="21"/>
  <c r="A14" i="21"/>
  <c r="S10" i="11"/>
  <c r="AY7" i="21" s="1"/>
  <c r="R10" i="11"/>
  <c r="AK7" i="21" s="1"/>
  <c r="Q10" i="11"/>
  <c r="AJ7" i="21" s="1"/>
  <c r="P10" i="11"/>
  <c r="BI7" i="21" s="1"/>
  <c r="O10" i="11"/>
  <c r="AU7" i="21" s="1"/>
  <c r="N10" i="11"/>
  <c r="AG7" i="21" s="1"/>
  <c r="M10" i="11"/>
  <c r="AF7" i="21" s="1"/>
  <c r="L10" i="11"/>
  <c r="BE7" i="21" s="1"/>
  <c r="K10" i="11"/>
  <c r="AQ7" i="21" s="1"/>
  <c r="J10" i="11"/>
  <c r="AC7" i="21" s="1"/>
  <c r="I10" i="11"/>
  <c r="AB7" i="21" s="1"/>
  <c r="H10" i="11"/>
  <c r="BA7" i="21" s="1"/>
  <c r="G10" i="11"/>
  <c r="AZ7" i="21" s="1"/>
  <c r="R12" i="21"/>
  <c r="S12" i="21"/>
  <c r="A12" i="21"/>
  <c r="R9" i="21"/>
  <c r="R10" i="21"/>
  <c r="R11" i="21"/>
  <c r="R13" i="21"/>
  <c r="R8" i="21"/>
  <c r="S8" i="21"/>
  <c r="S9" i="21"/>
  <c r="S10" i="21"/>
  <c r="S11" i="21"/>
  <c r="S13" i="21"/>
  <c r="AQ9" i="21" l="1"/>
  <c r="AY9" i="21"/>
  <c r="AU11" i="21"/>
  <c r="H60" i="11"/>
  <c r="AU18" i="21"/>
  <c r="BH18" i="21" s="1"/>
  <c r="AQ18" i="21"/>
  <c r="BD18" i="21" s="1"/>
  <c r="AY18" i="21"/>
  <c r="BL18" i="21" s="1"/>
  <c r="AY14" i="21"/>
  <c r="BL14" i="21" s="1"/>
  <c r="AU14" i="21"/>
  <c r="BH14" i="21" s="1"/>
  <c r="AQ14" i="21"/>
  <c r="AY10" i="21"/>
  <c r="AU10" i="21"/>
  <c r="BH10" i="21" s="1"/>
  <c r="AQ10" i="21"/>
  <c r="BD10" i="21" s="1"/>
  <c r="AY8" i="21"/>
  <c r="BL8" i="21" s="1"/>
  <c r="AU8" i="21"/>
  <c r="BH8" i="21" s="1"/>
  <c r="AQ8" i="21"/>
  <c r="BD8" i="21" s="1"/>
  <c r="AY21" i="21"/>
  <c r="BL21" i="21" s="1"/>
  <c r="AU21" i="21"/>
  <c r="AQ21" i="21"/>
  <c r="AY17" i="21"/>
  <c r="AU17" i="21"/>
  <c r="BH17" i="21" s="1"/>
  <c r="AQ17" i="21"/>
  <c r="BD17" i="21" s="1"/>
  <c r="AY13" i="21"/>
  <c r="BL13" i="21" s="1"/>
  <c r="AU13" i="21"/>
  <c r="BH13" i="21" s="1"/>
  <c r="AQ13" i="21"/>
  <c r="BD13" i="21" s="1"/>
  <c r="AU9" i="21"/>
  <c r="BH9" i="21" s="1"/>
  <c r="BD21" i="21"/>
  <c r="BL17" i="21"/>
  <c r="AY20" i="21"/>
  <c r="BL20" i="21" s="1"/>
  <c r="AU20" i="21"/>
  <c r="BH20" i="21" s="1"/>
  <c r="AQ20" i="21"/>
  <c r="BD20" i="21" s="1"/>
  <c r="AY12" i="21"/>
  <c r="BL12" i="21" s="1"/>
  <c r="AU12" i="21"/>
  <c r="BH12" i="21" s="1"/>
  <c r="AQ12" i="21"/>
  <c r="BD12" i="21" s="1"/>
  <c r="AY19" i="21"/>
  <c r="BL19" i="21" s="1"/>
  <c r="AU19" i="21"/>
  <c r="BH19" i="21" s="1"/>
  <c r="AQ19" i="21"/>
  <c r="BD19" i="21" s="1"/>
  <c r="AY15" i="21"/>
  <c r="BL15" i="21" s="1"/>
  <c r="AU15" i="21"/>
  <c r="BH15" i="21" s="1"/>
  <c r="AQ15" i="21"/>
  <c r="BD15" i="21" s="1"/>
  <c r="AY11" i="21"/>
  <c r="BL11" i="21" s="1"/>
  <c r="AQ11" i="21"/>
  <c r="G60" i="11"/>
  <c r="P60" i="11"/>
  <c r="H64" i="11"/>
  <c r="C4" i="23" s="1"/>
  <c r="L60" i="11"/>
  <c r="H65" i="11"/>
  <c r="S60" i="11"/>
  <c r="O60" i="11"/>
  <c r="K60" i="11"/>
  <c r="O67" i="11"/>
  <c r="R60" i="11"/>
  <c r="N60" i="11"/>
  <c r="J60" i="11"/>
  <c r="P64" i="11"/>
  <c r="K4" i="23" s="1"/>
  <c r="Q60" i="11"/>
  <c r="M60" i="11"/>
  <c r="I60" i="11"/>
  <c r="K67" i="11"/>
  <c r="O64" i="11"/>
  <c r="J4" i="23" s="1"/>
  <c r="G65" i="11"/>
  <c r="R66" i="11"/>
  <c r="G64" i="11"/>
  <c r="B4" i="23" s="1"/>
  <c r="L64" i="11"/>
  <c r="G4" i="23" s="1"/>
  <c r="P65" i="11"/>
  <c r="N66" i="11"/>
  <c r="S67" i="11"/>
  <c r="S64" i="11"/>
  <c r="K64" i="11"/>
  <c r="F4" i="23" s="1"/>
  <c r="L65" i="11"/>
  <c r="J66" i="11"/>
  <c r="Q67" i="11"/>
  <c r="M67" i="11"/>
  <c r="I67" i="11"/>
  <c r="R64" i="11"/>
  <c r="M4" i="23" s="1"/>
  <c r="N64" i="11"/>
  <c r="I4" i="23" s="1"/>
  <c r="J64" i="11"/>
  <c r="E4" i="23" s="1"/>
  <c r="S65" i="11"/>
  <c r="O65" i="11"/>
  <c r="K65" i="11"/>
  <c r="G66" i="11"/>
  <c r="P66" i="11"/>
  <c r="L66" i="11"/>
  <c r="H66" i="11"/>
  <c r="Q65" i="11"/>
  <c r="M65" i="11"/>
  <c r="I65" i="11"/>
  <c r="R67" i="11"/>
  <c r="N67" i="11"/>
  <c r="J67" i="11"/>
  <c r="Q66" i="11"/>
  <c r="M66" i="11"/>
  <c r="I66" i="11"/>
  <c r="G67" i="11"/>
  <c r="P67" i="11"/>
  <c r="L67" i="11"/>
  <c r="H67" i="11"/>
  <c r="Q64" i="11"/>
  <c r="L4" i="23" s="1"/>
  <c r="M64" i="11"/>
  <c r="H4" i="23" s="1"/>
  <c r="I64" i="11"/>
  <c r="D4" i="23" s="1"/>
  <c r="R65" i="11"/>
  <c r="N65" i="11"/>
  <c r="J65" i="11"/>
  <c r="S66" i="11"/>
  <c r="O66" i="11"/>
  <c r="K66" i="11"/>
  <c r="BD14" i="21"/>
  <c r="BH21" i="21"/>
  <c r="AP7" i="21"/>
  <c r="Z7" i="21"/>
  <c r="BL7" i="21"/>
  <c r="AX7" i="21"/>
  <c r="BH7" i="21"/>
  <c r="AT7" i="21"/>
  <c r="BD7" i="21"/>
  <c r="AE7" i="21"/>
  <c r="AL7" i="21"/>
  <c r="AH7" i="21"/>
  <c r="AD7" i="21"/>
  <c r="AM7" i="21"/>
  <c r="AW7" i="21"/>
  <c r="AS7" i="21"/>
  <c r="AO7" i="21"/>
  <c r="BK7" i="21"/>
  <c r="BG7" i="21"/>
  <c r="BC7" i="21"/>
  <c r="AV7" i="21"/>
  <c r="AR7" i="21"/>
  <c r="AN7" i="21"/>
  <c r="BJ7" i="21"/>
  <c r="BF7" i="21"/>
  <c r="BB7" i="21"/>
  <c r="AI7" i="21"/>
  <c r="AA7" i="21"/>
  <c r="BL10" i="21"/>
  <c r="BL9" i="21"/>
  <c r="BD9" i="21"/>
  <c r="BH11" i="21"/>
  <c r="BD11" i="21"/>
  <c r="A11" i="21"/>
  <c r="AV10" i="21" l="1"/>
  <c r="AV14" i="21"/>
  <c r="BI14" i="21" s="1"/>
  <c r="AV18" i="21"/>
  <c r="AV11" i="21"/>
  <c r="BI11" i="21" s="1"/>
  <c r="AV15" i="21"/>
  <c r="BI15" i="21" s="1"/>
  <c r="AV19" i="21"/>
  <c r="BI19" i="21" s="1"/>
  <c r="AV12" i="21"/>
  <c r="BI12" i="21" s="1"/>
  <c r="AV20" i="21"/>
  <c r="AV21" i="21"/>
  <c r="AV8" i="21"/>
  <c r="AV9" i="21"/>
  <c r="BI9" i="21" s="1"/>
  <c r="AV13" i="21"/>
  <c r="BI13" i="21" s="1"/>
  <c r="AV17" i="21"/>
  <c r="BI17" i="21" s="1"/>
  <c r="AO9" i="21"/>
  <c r="BB9" i="21" s="1"/>
  <c r="AO13" i="21"/>
  <c r="BB13" i="21" s="1"/>
  <c r="AO17" i="21"/>
  <c r="AO21" i="21"/>
  <c r="AO8" i="21"/>
  <c r="AO10" i="21"/>
  <c r="BB10" i="21" s="1"/>
  <c r="AO14" i="21"/>
  <c r="BB14" i="21" s="1"/>
  <c r="AO18" i="21"/>
  <c r="BB18" i="21" s="1"/>
  <c r="AO11" i="21"/>
  <c r="BB11" i="21" s="1"/>
  <c r="AO15" i="21"/>
  <c r="BB15" i="21" s="1"/>
  <c r="AO19" i="21"/>
  <c r="AO12" i="21"/>
  <c r="BB12" i="21" s="1"/>
  <c r="AO20" i="21"/>
  <c r="BB20" i="21" s="1"/>
  <c r="AX12" i="21"/>
  <c r="BK12" i="21" s="1"/>
  <c r="AX20" i="21"/>
  <c r="BK20" i="21" s="1"/>
  <c r="AX9" i="21"/>
  <c r="BK9" i="21" s="1"/>
  <c r="AX13" i="21"/>
  <c r="BK13" i="21" s="1"/>
  <c r="AX17" i="21"/>
  <c r="BK17" i="21" s="1"/>
  <c r="AX21" i="21"/>
  <c r="AX8" i="21"/>
  <c r="BK8" i="21" s="1"/>
  <c r="AX10" i="21"/>
  <c r="BK10" i="21" s="1"/>
  <c r="AX14" i="21"/>
  <c r="BK14" i="21" s="1"/>
  <c r="AX18" i="21"/>
  <c r="BK18" i="21" s="1"/>
  <c r="AX11" i="21"/>
  <c r="BK11" i="21" s="1"/>
  <c r="AX15" i="21"/>
  <c r="BK15" i="21" s="1"/>
  <c r="AX19" i="21"/>
  <c r="BK19" i="21" s="1"/>
  <c r="AS9" i="21"/>
  <c r="AS13" i="21"/>
  <c r="BF13" i="21" s="1"/>
  <c r="AS17" i="21"/>
  <c r="BF17" i="21" s="1"/>
  <c r="AS21" i="21"/>
  <c r="BF21" i="21" s="1"/>
  <c r="AS8" i="21"/>
  <c r="BF8" i="21" s="1"/>
  <c r="AS10" i="21"/>
  <c r="BF10" i="21" s="1"/>
  <c r="AS14" i="21"/>
  <c r="BF14" i="21" s="1"/>
  <c r="AS18" i="21"/>
  <c r="BF18" i="21" s="1"/>
  <c r="AS11" i="21"/>
  <c r="AS15" i="21"/>
  <c r="BF15" i="21" s="1"/>
  <c r="AS19" i="21"/>
  <c r="BF19" i="21" s="1"/>
  <c r="AS20" i="21"/>
  <c r="BF20" i="21" s="1"/>
  <c r="AS12" i="21"/>
  <c r="BF12" i="21" s="1"/>
  <c r="AN10" i="21"/>
  <c r="BA10" i="21" s="1"/>
  <c r="AN14" i="21"/>
  <c r="BA14" i="21" s="1"/>
  <c r="AN18" i="21"/>
  <c r="BA18" i="21" s="1"/>
  <c r="AN11" i="21"/>
  <c r="BA11" i="21" s="1"/>
  <c r="AN15" i="21"/>
  <c r="BA15" i="21" s="1"/>
  <c r="AN19" i="21"/>
  <c r="BA19" i="21" s="1"/>
  <c r="AN12" i="21"/>
  <c r="BA12" i="21" s="1"/>
  <c r="AN20" i="21"/>
  <c r="BA20" i="21" s="1"/>
  <c r="AN21" i="21"/>
  <c r="BA21" i="21" s="1"/>
  <c r="AN9" i="21"/>
  <c r="BA9" i="21" s="1"/>
  <c r="AN13" i="21"/>
  <c r="BA13" i="21" s="1"/>
  <c r="AN17" i="21"/>
  <c r="BA17" i="21" s="1"/>
  <c r="AN8" i="21"/>
  <c r="BA8" i="21" s="1"/>
  <c r="AW9" i="21"/>
  <c r="BJ9" i="21" s="1"/>
  <c r="AW13" i="21"/>
  <c r="BJ13" i="21" s="1"/>
  <c r="AW17" i="21"/>
  <c r="BJ17" i="21" s="1"/>
  <c r="AW21" i="21"/>
  <c r="BJ21" i="21" s="1"/>
  <c r="AW8" i="21"/>
  <c r="BJ8" i="21" s="1"/>
  <c r="AW10" i="21"/>
  <c r="BJ10" i="21" s="1"/>
  <c r="AW14" i="21"/>
  <c r="BJ14" i="21" s="1"/>
  <c r="AW18" i="21"/>
  <c r="BJ18" i="21" s="1"/>
  <c r="AW11" i="21"/>
  <c r="BJ11" i="21" s="1"/>
  <c r="AW15" i="21"/>
  <c r="BJ15" i="21" s="1"/>
  <c r="AW19" i="21"/>
  <c r="BJ19" i="21" s="1"/>
  <c r="AW12" i="21"/>
  <c r="BJ12" i="21" s="1"/>
  <c r="AW20" i="21"/>
  <c r="BJ20" i="21" s="1"/>
  <c r="AT12" i="21"/>
  <c r="BG12" i="21" s="1"/>
  <c r="AT20" i="21"/>
  <c r="BG20" i="21" s="1"/>
  <c r="AT9" i="21"/>
  <c r="BG9" i="21" s="1"/>
  <c r="AT13" i="21"/>
  <c r="BG13" i="21" s="1"/>
  <c r="AT17" i="21"/>
  <c r="BG17" i="21" s="1"/>
  <c r="AT21" i="21"/>
  <c r="BG21" i="21" s="1"/>
  <c r="AT8" i="21"/>
  <c r="BG8" i="21" s="1"/>
  <c r="AT10" i="21"/>
  <c r="BG10" i="21" s="1"/>
  <c r="AT14" i="21"/>
  <c r="BG14" i="21" s="1"/>
  <c r="AT18" i="21"/>
  <c r="BG18" i="21" s="1"/>
  <c r="AT11" i="21"/>
  <c r="BG11" i="21" s="1"/>
  <c r="AT15" i="21"/>
  <c r="BG15" i="21" s="1"/>
  <c r="AT19" i="21"/>
  <c r="BG19" i="21" s="1"/>
  <c r="AR10" i="21"/>
  <c r="BE10" i="21" s="1"/>
  <c r="AR14" i="21"/>
  <c r="BE14" i="21" s="1"/>
  <c r="AR18" i="21"/>
  <c r="BE18" i="21" s="1"/>
  <c r="AR11" i="21"/>
  <c r="BE11" i="21" s="1"/>
  <c r="AR15" i="21"/>
  <c r="BE15" i="21" s="1"/>
  <c r="AR19" i="21"/>
  <c r="BE19" i="21" s="1"/>
  <c r="AR12" i="21"/>
  <c r="BE12" i="21" s="1"/>
  <c r="AR20" i="21"/>
  <c r="BE20" i="21" s="1"/>
  <c r="AR8" i="21"/>
  <c r="BE8" i="21" s="1"/>
  <c r="AR9" i="21"/>
  <c r="BE9" i="21" s="1"/>
  <c r="AR13" i="21"/>
  <c r="BE13" i="21" s="1"/>
  <c r="AR17" i="21"/>
  <c r="BE17" i="21" s="1"/>
  <c r="AR21" i="21"/>
  <c r="BE21" i="21" s="1"/>
  <c r="AM11" i="21"/>
  <c r="AZ11" i="21" s="1"/>
  <c r="AM15" i="21"/>
  <c r="AZ15" i="21" s="1"/>
  <c r="AM19" i="21"/>
  <c r="AZ19" i="21" s="1"/>
  <c r="AM12" i="21"/>
  <c r="AZ12" i="21" s="1"/>
  <c r="AM20" i="21"/>
  <c r="AZ20" i="21" s="1"/>
  <c r="AM9" i="21"/>
  <c r="AZ9" i="21" s="1"/>
  <c r="AM13" i="21"/>
  <c r="AZ13" i="21" s="1"/>
  <c r="AM17" i="21"/>
  <c r="AZ17" i="21" s="1"/>
  <c r="AM21" i="21"/>
  <c r="AZ21" i="21" s="1"/>
  <c r="AM18" i="21"/>
  <c r="AZ18" i="21" s="1"/>
  <c r="AM10" i="21"/>
  <c r="AZ10" i="21" s="1"/>
  <c r="AM14" i="21"/>
  <c r="AZ14" i="21" s="1"/>
  <c r="AM8" i="21"/>
  <c r="AZ8" i="21" s="1"/>
  <c r="AP12" i="21"/>
  <c r="BC12" i="21" s="1"/>
  <c r="AP20" i="21"/>
  <c r="BC20" i="21" s="1"/>
  <c r="AP9" i="21"/>
  <c r="BC9" i="21" s="1"/>
  <c r="AP13" i="21"/>
  <c r="BC13" i="21" s="1"/>
  <c r="AP17" i="21"/>
  <c r="BC17" i="21" s="1"/>
  <c r="AP21" i="21"/>
  <c r="BC21" i="21" s="1"/>
  <c r="AP8" i="21"/>
  <c r="BC8" i="21" s="1"/>
  <c r="AP10" i="21"/>
  <c r="BC10" i="21" s="1"/>
  <c r="AP14" i="21"/>
  <c r="BC14" i="21" s="1"/>
  <c r="AP18" i="21"/>
  <c r="BC18" i="21" s="1"/>
  <c r="AP11" i="21"/>
  <c r="BC11" i="21" s="1"/>
  <c r="AP15" i="21"/>
  <c r="BC15" i="21" s="1"/>
  <c r="AP19" i="21"/>
  <c r="BC19" i="21" s="1"/>
  <c r="BB17" i="21"/>
  <c r="BB21" i="21"/>
  <c r="BB19" i="21"/>
  <c r="BI21" i="21"/>
  <c r="BI20" i="21"/>
  <c r="BI18" i="21"/>
  <c r="BK21" i="21"/>
  <c r="BF9" i="21"/>
  <c r="BF11" i="21"/>
  <c r="BI8" i="21"/>
  <c r="BB8" i="21"/>
  <c r="BI10" i="21"/>
  <c r="E3" i="21" l="1"/>
  <c r="F3" i="21" l="1"/>
  <c r="F13" i="21" s="1"/>
  <c r="F8" i="21" l="1"/>
  <c r="F15" i="21"/>
  <c r="F14" i="21"/>
  <c r="F12" i="21"/>
  <c r="F11" i="21"/>
  <c r="F10" i="21"/>
  <c r="F9" i="21"/>
  <c r="E2" i="21"/>
  <c r="Z1" i="21" s="1"/>
  <c r="AA1" i="21" l="1"/>
  <c r="Z2" i="21"/>
  <c r="Z3" i="21" s="1"/>
  <c r="Z9" i="21" s="1"/>
  <c r="AK2" i="22"/>
  <c r="Z8" i="21" l="1"/>
  <c r="Z15" i="21"/>
  <c r="Z14" i="21"/>
  <c r="Z12" i="21"/>
  <c r="Z11" i="21"/>
  <c r="AA2" i="21"/>
  <c r="AA3" i="21" s="1"/>
  <c r="AA13" i="21" s="1"/>
  <c r="Z10" i="21"/>
  <c r="Z13" i="21"/>
  <c r="AB1" i="21"/>
  <c r="W4"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3" i="22"/>
  <c r="A32" i="22"/>
  <c r="A30" i="22"/>
  <c r="A31" i="22"/>
  <c r="A33" i="22"/>
  <c r="A34" i="22"/>
  <c r="A27" i="22"/>
  <c r="A28" i="22"/>
  <c r="A29" i="22"/>
  <c r="A18" i="22"/>
  <c r="A4" i="22"/>
  <c r="A24" i="22"/>
  <c r="A25" i="22"/>
  <c r="A26" i="22"/>
  <c r="A35" i="22"/>
  <c r="AL2" i="22"/>
  <c r="AL9" i="22" s="1"/>
  <c r="A39" i="22"/>
  <c r="A40" i="22"/>
  <c r="A41" i="22"/>
  <c r="A42" i="22"/>
  <c r="AH4" i="22" l="1" a="1"/>
  <c r="AH4" i="22" s="1"/>
  <c r="AH3" i="22" a="1"/>
  <c r="AH3" i="22" s="1"/>
  <c r="Z13" i="22"/>
  <c r="AA15" i="21"/>
  <c r="AA14" i="21"/>
  <c r="AA8" i="21"/>
  <c r="AA12" i="21"/>
  <c r="AA10" i="21"/>
  <c r="AA9" i="21"/>
  <c r="AA11" i="21"/>
  <c r="AC1" i="21"/>
  <c r="AB2" i="21"/>
  <c r="AB3" i="21" s="1"/>
  <c r="AB11" i="21" s="1"/>
  <c r="Y34" i="22"/>
  <c r="AC41" i="22"/>
  <c r="AC39" i="22"/>
  <c r="AC37" i="22"/>
  <c r="Y37" i="22"/>
  <c r="Y35" i="22"/>
  <c r="AA34" i="22"/>
  <c r="AD41" i="22"/>
  <c r="AD39" i="22"/>
  <c r="AB38" i="22"/>
  <c r="Z37" i="22"/>
  <c r="AD35" i="22"/>
  <c r="AB34" i="22"/>
  <c r="Y41" i="22"/>
  <c r="Y39" i="22"/>
  <c r="AC35" i="22"/>
  <c r="AD42" i="22"/>
  <c r="Z42" i="22"/>
  <c r="AB41" i="22"/>
  <c r="AD40" i="22"/>
  <c r="Z40" i="22"/>
  <c r="AB39" i="22"/>
  <c r="AD38" i="22"/>
  <c r="Z38" i="22"/>
  <c r="AB37" i="22"/>
  <c r="AD36" i="22"/>
  <c r="Z36" i="22"/>
  <c r="AB35" i="22"/>
  <c r="AD34" i="22"/>
  <c r="Z34" i="22"/>
  <c r="AB42" i="22"/>
  <c r="Z41" i="22"/>
  <c r="AB40" i="22"/>
  <c r="Z39" i="22"/>
  <c r="AD37" i="22"/>
  <c r="AB36" i="22"/>
  <c r="Z35" i="22"/>
  <c r="AA42" i="22"/>
  <c r="AA40" i="22"/>
  <c r="AA38" i="22"/>
  <c r="AA36" i="22"/>
  <c r="AC42" i="22"/>
  <c r="Y42" i="22"/>
  <c r="AA41" i="22"/>
  <c r="AC40" i="22"/>
  <c r="Y40" i="22"/>
  <c r="AA39" i="22"/>
  <c r="AC38" i="22"/>
  <c r="Y38" i="22"/>
  <c r="AA37" i="22"/>
  <c r="AC36" i="22"/>
  <c r="Y36" i="22"/>
  <c r="AA35" i="22"/>
  <c r="AC34" i="22"/>
  <c r="Z25" i="22"/>
  <c r="Z33" i="22"/>
  <c r="AB30" i="22"/>
  <c r="AD27" i="22"/>
  <c r="AB16" i="22"/>
  <c r="AD17" i="22"/>
  <c r="Z19" i="22"/>
  <c r="AB20" i="22"/>
  <c r="Z21" i="22"/>
  <c r="AB22" i="22"/>
  <c r="AD23" i="22"/>
  <c r="Z17" i="22"/>
  <c r="AB18" i="22"/>
  <c r="AD19" i="22"/>
  <c r="AD21" i="22"/>
  <c r="Z23" i="22"/>
  <c r="AB32" i="22"/>
  <c r="AD29" i="22"/>
  <c r="Z27" i="22"/>
  <c r="AB24" i="22"/>
  <c r="AD31" i="22"/>
  <c r="Z29" i="22"/>
  <c r="AB26" i="22"/>
  <c r="AD33" i="22"/>
  <c r="Z31" i="22"/>
  <c r="AB28" i="22"/>
  <c r="AD25" i="22"/>
  <c r="AD3" i="22"/>
  <c r="AC33" i="22"/>
  <c r="Y33" i="22"/>
  <c r="AA32" i="22"/>
  <c r="AC31" i="22"/>
  <c r="Y31" i="22"/>
  <c r="AA30" i="22"/>
  <c r="AC29" i="22"/>
  <c r="Y29" i="22"/>
  <c r="AA28" i="22"/>
  <c r="AC27" i="22"/>
  <c r="Y27" i="22"/>
  <c r="AA26" i="22"/>
  <c r="AC25" i="22"/>
  <c r="Y25" i="22"/>
  <c r="AA24" i="22"/>
  <c r="AC23" i="22"/>
  <c r="Y23" i="22"/>
  <c r="AA22" i="22"/>
  <c r="AC21" i="22"/>
  <c r="Y21" i="22"/>
  <c r="AA20" i="22"/>
  <c r="AC19" i="22"/>
  <c r="Y19" i="22"/>
  <c r="AA18" i="22"/>
  <c r="AC17" i="22"/>
  <c r="Y17" i="22"/>
  <c r="AA16" i="22"/>
  <c r="AC15" i="22"/>
  <c r="Y15" i="22"/>
  <c r="AA14" i="22"/>
  <c r="AC13" i="22"/>
  <c r="Y13" i="22"/>
  <c r="AA12" i="22"/>
  <c r="AC11" i="22"/>
  <c r="Y11" i="22"/>
  <c r="AA10" i="22"/>
  <c r="AC9" i="22"/>
  <c r="Y9" i="22"/>
  <c r="AA8" i="22"/>
  <c r="AC7" i="22"/>
  <c r="Y7" i="22"/>
  <c r="AA6" i="22"/>
  <c r="AC5" i="22"/>
  <c r="Y5" i="22"/>
  <c r="AA4" i="22"/>
  <c r="Z15" i="22"/>
  <c r="AD13" i="22"/>
  <c r="AB12" i="22"/>
  <c r="AD11" i="22"/>
  <c r="AB10" i="22"/>
  <c r="AD9" i="22"/>
  <c r="AB8" i="22"/>
  <c r="AD7" i="22"/>
  <c r="Z7" i="22"/>
  <c r="AB6" i="22"/>
  <c r="AD5" i="22"/>
  <c r="AB4" i="22"/>
  <c r="AB33" i="22"/>
  <c r="AD32" i="22"/>
  <c r="Z32" i="22"/>
  <c r="AB31" i="22"/>
  <c r="AD30" i="22"/>
  <c r="Z30" i="22"/>
  <c r="AB29" i="22"/>
  <c r="AD28" i="22"/>
  <c r="Z28" i="22"/>
  <c r="AB27" i="22"/>
  <c r="AD26" i="22"/>
  <c r="Z26" i="22"/>
  <c r="AB25" i="22"/>
  <c r="AD24" i="22"/>
  <c r="Z24" i="22"/>
  <c r="AB23" i="22"/>
  <c r="AD22" i="22"/>
  <c r="Z22" i="22"/>
  <c r="AB21" i="22"/>
  <c r="AD20" i="22"/>
  <c r="Z20" i="22"/>
  <c r="AB19" i="22"/>
  <c r="AD18" i="22"/>
  <c r="Z18" i="22"/>
  <c r="AB17" i="22"/>
  <c r="AD16" i="22"/>
  <c r="Z16" i="22"/>
  <c r="AB15" i="22"/>
  <c r="AD14" i="22"/>
  <c r="Z14" i="22"/>
  <c r="AB13" i="22"/>
  <c r="AD12" i="22"/>
  <c r="Z12" i="22"/>
  <c r="AB11" i="22"/>
  <c r="AD10" i="22"/>
  <c r="Z10" i="22"/>
  <c r="AB9" i="22"/>
  <c r="AD8" i="22"/>
  <c r="Z8" i="22"/>
  <c r="AB7" i="22"/>
  <c r="AD6" i="22"/>
  <c r="Z6" i="22"/>
  <c r="AB5" i="22"/>
  <c r="AD4" i="22"/>
  <c r="Z4" i="22"/>
  <c r="AD15" i="22"/>
  <c r="AB14" i="22"/>
  <c r="Z11" i="22"/>
  <c r="Z9" i="22"/>
  <c r="Z5" i="22"/>
  <c r="AA3" i="22"/>
  <c r="AA33" i="22"/>
  <c r="AC32" i="22"/>
  <c r="Y32" i="22"/>
  <c r="AA31" i="22"/>
  <c r="AC30" i="22"/>
  <c r="Y30" i="22"/>
  <c r="AA29" i="22"/>
  <c r="AC28" i="22"/>
  <c r="Y28" i="22"/>
  <c r="AA27" i="22"/>
  <c r="AC26" i="22"/>
  <c r="Y26" i="22"/>
  <c r="AA25" i="22"/>
  <c r="AC24" i="22"/>
  <c r="Y24" i="22"/>
  <c r="AA23" i="22"/>
  <c r="AC22" i="22"/>
  <c r="Y22" i="22"/>
  <c r="AA21" i="22"/>
  <c r="AC20" i="22"/>
  <c r="Y20" i="22"/>
  <c r="AA19" i="22"/>
  <c r="AC18" i="22"/>
  <c r="Y18" i="22"/>
  <c r="AA17" i="22"/>
  <c r="AC16" i="22"/>
  <c r="Y16" i="22"/>
  <c r="AA15" i="22"/>
  <c r="AC14" i="22"/>
  <c r="Y14" i="22"/>
  <c r="AA13" i="22"/>
  <c r="AC12" i="22"/>
  <c r="Y12" i="22"/>
  <c r="AA11" i="22"/>
  <c r="AC10" i="22"/>
  <c r="Y10" i="22"/>
  <c r="AA9" i="22"/>
  <c r="AC8" i="22"/>
  <c r="Y8" i="22"/>
  <c r="AA7" i="22"/>
  <c r="AC6" i="22"/>
  <c r="Y6" i="22"/>
  <c r="AA5" i="22"/>
  <c r="AC4" i="22"/>
  <c r="Y4" i="22"/>
  <c r="AC3" i="22"/>
  <c r="AB3" i="22"/>
  <c r="Y3" i="22"/>
  <c r="Z3" i="22"/>
  <c r="A5" i="22"/>
  <c r="A6" i="22"/>
  <c r="A7" i="22"/>
  <c r="A8" i="22"/>
  <c r="A9" i="22"/>
  <c r="A10" i="22"/>
  <c r="A11" i="22"/>
  <c r="A12" i="22"/>
  <c r="A13" i="22"/>
  <c r="A14" i="22"/>
  <c r="A15" i="22"/>
  <c r="A16" i="22"/>
  <c r="A17" i="22"/>
  <c r="A19" i="22"/>
  <c r="A20" i="22"/>
  <c r="A21" i="22"/>
  <c r="A22" i="22"/>
  <c r="A23" i="22"/>
  <c r="A36" i="22"/>
  <c r="A37" i="22"/>
  <c r="A38" i="22"/>
  <c r="A3" i="22"/>
  <c r="AB15" i="21" l="1"/>
  <c r="AB14" i="21"/>
  <c r="AB12" i="21"/>
  <c r="AB10" i="21"/>
  <c r="AB8" i="21"/>
  <c r="AB13" i="21"/>
  <c r="AB9" i="21"/>
  <c r="AD1" i="21"/>
  <c r="AC2" i="21"/>
  <c r="AC3" i="21" s="1"/>
  <c r="AC10" i="21" s="1"/>
  <c r="AF3" i="22"/>
  <c r="AF11" i="22"/>
  <c r="AF4" i="22"/>
  <c r="AF12" i="22"/>
  <c r="AF20" i="22"/>
  <c r="AF28" i="22"/>
  <c r="AF7" i="22"/>
  <c r="AF15" i="22"/>
  <c r="AF29" i="22"/>
  <c r="AF8" i="22"/>
  <c r="AF16" i="22"/>
  <c r="AF24" i="22"/>
  <c r="AF32" i="22"/>
  <c r="AF39" i="22"/>
  <c r="AF33" i="22"/>
  <c r="AF41" i="22"/>
  <c r="AF38" i="22"/>
  <c r="AF13" i="22"/>
  <c r="AF10" i="22"/>
  <c r="AF18" i="22"/>
  <c r="AF26" i="22"/>
  <c r="AF31" i="22"/>
  <c r="AF21" i="22"/>
  <c r="AF25" i="22"/>
  <c r="AF36" i="22"/>
  <c r="AF37" i="22"/>
  <c r="AF5" i="22"/>
  <c r="AF23" i="22"/>
  <c r="AF17" i="22"/>
  <c r="AF34" i="22"/>
  <c r="AF42" i="22"/>
  <c r="AF9" i="22"/>
  <c r="AF6" i="22"/>
  <c r="AF14" i="22"/>
  <c r="AF22" i="22"/>
  <c r="AF30" i="22"/>
  <c r="AF27" i="22"/>
  <c r="AF19" i="22"/>
  <c r="AF35" i="22"/>
  <c r="AF40" i="22"/>
  <c r="A9" i="21"/>
  <c r="A10" i="21"/>
  <c r="A13" i="21"/>
  <c r="A8" i="21"/>
  <c r="A6" i="21"/>
  <c r="G6" i="21" l="1"/>
  <c r="Q6" i="21"/>
  <c r="AC15" i="21"/>
  <c r="AC14" i="21"/>
  <c r="AC12" i="21"/>
  <c r="AC13" i="21"/>
  <c r="AC9" i="21"/>
  <c r="AC11" i="21"/>
  <c r="AC8" i="21"/>
  <c r="AE1" i="21"/>
  <c r="AD2" i="21"/>
  <c r="AD3" i="21" s="1"/>
  <c r="AD13" i="21" s="1"/>
  <c r="F31" i="18"/>
  <c r="F32" i="18"/>
  <c r="F33" i="18"/>
  <c r="F34" i="18"/>
  <c r="F35" i="18"/>
  <c r="F36" i="18"/>
  <c r="F30" i="18"/>
  <c r="E31" i="18"/>
  <c r="E32" i="18"/>
  <c r="E33" i="18"/>
  <c r="E34" i="18"/>
  <c r="E35" i="18"/>
  <c r="E36" i="18"/>
  <c r="E30" i="18"/>
  <c r="D31" i="18"/>
  <c r="D32" i="18"/>
  <c r="D33" i="18"/>
  <c r="D34" i="18"/>
  <c r="D35" i="18"/>
  <c r="D36" i="18"/>
  <c r="D30" i="18"/>
  <c r="K35" i="18"/>
  <c r="Q35" i="18"/>
  <c r="AZ6" i="21" l="1"/>
  <c r="N6" i="21"/>
  <c r="K6" i="21"/>
  <c r="AE6" i="21"/>
  <c r="BC6" i="21"/>
  <c r="BF6" i="21"/>
  <c r="BG6" i="21"/>
  <c r="B6" i="21"/>
  <c r="BH6" i="21"/>
  <c r="AP6" i="21"/>
  <c r="T6" i="21"/>
  <c r="AM6" i="21"/>
  <c r="BK6" i="21"/>
  <c r="AA6" i="21"/>
  <c r="AB6" i="21"/>
  <c r="C6" i="21"/>
  <c r="AC6" i="21"/>
  <c r="X6" i="21"/>
  <c r="V6" i="21"/>
  <c r="AU6" i="21"/>
  <c r="AF6" i="21"/>
  <c r="AI6" i="21"/>
  <c r="AJ6" i="21"/>
  <c r="D6" i="21"/>
  <c r="AK6" i="21"/>
  <c r="BA6" i="21"/>
  <c r="AO6" i="21"/>
  <c r="L6" i="21"/>
  <c r="AN6" i="21"/>
  <c r="AQ6" i="21"/>
  <c r="AR6" i="21"/>
  <c r="E6" i="21"/>
  <c r="J6" i="21"/>
  <c r="AD6" i="21"/>
  <c r="AX6" i="21"/>
  <c r="BD6" i="21"/>
  <c r="M6" i="21"/>
  <c r="P6" i="21"/>
  <c r="R6" i="21"/>
  <c r="AS6" i="21"/>
  <c r="BI6" i="21"/>
  <c r="AW6" i="21"/>
  <c r="U6" i="21"/>
  <c r="AV6" i="21"/>
  <c r="AY6" i="21"/>
  <c r="I6" i="21"/>
  <c r="F6" i="21"/>
  <c r="S6" i="21"/>
  <c r="AL6" i="21"/>
  <c r="BB6" i="21"/>
  <c r="W6" i="21"/>
  <c r="BL6" i="21"/>
  <c r="Y6" i="21"/>
  <c r="AH6" i="21"/>
  <c r="AG6" i="21"/>
  <c r="AT6" i="21"/>
  <c r="BJ6" i="21"/>
  <c r="O6" i="21"/>
  <c r="Z6" i="21"/>
  <c r="BE6" i="21"/>
  <c r="AD15" i="21"/>
  <c r="AD14" i="21"/>
  <c r="AD12" i="21"/>
  <c r="AD11" i="21"/>
  <c r="AD9" i="21"/>
  <c r="AD10" i="21"/>
  <c r="AD8" i="21"/>
  <c r="AF1" i="21"/>
  <c r="AE2" i="21"/>
  <c r="AE3" i="21" s="1"/>
  <c r="AE13" i="21" s="1"/>
  <c r="G35" i="18"/>
  <c r="K31" i="18"/>
  <c r="Q31" i="18"/>
  <c r="K36" i="18"/>
  <c r="Q36" i="18"/>
  <c r="K30" i="18"/>
  <c r="K32" i="18"/>
  <c r="K33" i="18"/>
  <c r="K34" i="18"/>
  <c r="Q32" i="18"/>
  <c r="Q33" i="18"/>
  <c r="Q34" i="18"/>
  <c r="Q30" i="18"/>
  <c r="J10" i="21"/>
  <c r="J8" i="21"/>
  <c r="J14" i="21"/>
  <c r="J13" i="21"/>
  <c r="Q10" i="21" a="1"/>
  <c r="Q9" i="21" a="1"/>
  <c r="D25" i="11" a="1"/>
  <c r="Q21" i="21" a="1"/>
  <c r="Q19" i="21" a="1"/>
  <c r="H8" i="21"/>
  <c r="Q13" i="21" a="1"/>
  <c r="Q15" i="21" a="1"/>
  <c r="Q20" i="21" a="1"/>
  <c r="Q11" i="21" a="1"/>
  <c r="Q12" i="21" a="1"/>
  <c r="G12" i="21" a="1"/>
  <c r="Q18" i="21" a="1"/>
  <c r="G10" i="21" a="1"/>
  <c r="Q14" i="21" a="1"/>
  <c r="G11" i="21" a="1"/>
  <c r="Q8" i="21" a="1"/>
  <c r="Q17" i="21" a="1"/>
  <c r="D12" i="11" a="1"/>
  <c r="J12" i="21"/>
  <c r="J11" i="21"/>
  <c r="J9" i="21"/>
  <c r="J15" i="21"/>
  <c r="I16" i="21" l="1"/>
  <c r="G11" i="21"/>
  <c r="G10" i="21"/>
  <c r="G12" i="21"/>
  <c r="Q11" i="21"/>
  <c r="Q15" i="21"/>
  <c r="Q19" i="21"/>
  <c r="Q9" i="21"/>
  <c r="Q17" i="21"/>
  <c r="Q14" i="21"/>
  <c r="Q18" i="21"/>
  <c r="Q12" i="21"/>
  <c r="Q20" i="21"/>
  <c r="Q13" i="21"/>
  <c r="Q21" i="21"/>
  <c r="Q10" i="21"/>
  <c r="Q8" i="21"/>
  <c r="D12" i="11"/>
  <c r="D25" i="11"/>
  <c r="G15" i="21" a="1"/>
  <c r="H11" i="21"/>
  <c r="H12" i="21"/>
  <c r="G8" i="21" a="1"/>
  <c r="H14" i="21"/>
  <c r="Q16" i="21" a="1"/>
  <c r="G16" i="21" a="1"/>
  <c r="J2" i="21"/>
  <c r="G9" i="21" a="1"/>
  <c r="G14" i="21" a="1"/>
  <c r="H9" i="21"/>
  <c r="H16" i="21"/>
  <c r="H13" i="21"/>
  <c r="J16" i="21"/>
  <c r="H10" i="21"/>
  <c r="H15" i="21"/>
  <c r="G13" i="21" a="1"/>
  <c r="G16" i="21" l="1"/>
  <c r="Q16" i="21"/>
  <c r="K25" i="11"/>
  <c r="S25" i="11"/>
  <c r="J25" i="11"/>
  <c r="H25" i="11"/>
  <c r="I25" i="11"/>
  <c r="R25" i="11"/>
  <c r="G12" i="11"/>
  <c r="I12" i="11"/>
  <c r="Q12" i="11"/>
  <c r="J12" i="11"/>
  <c r="R12" i="11"/>
  <c r="K12" i="11"/>
  <c r="S12" i="11"/>
  <c r="L12" i="11"/>
  <c r="M12" i="11"/>
  <c r="H12" i="11"/>
  <c r="N12" i="11"/>
  <c r="O12" i="11"/>
  <c r="P12" i="11"/>
  <c r="G14" i="21"/>
  <c r="G8" i="21"/>
  <c r="G9" i="21"/>
  <c r="G15" i="21"/>
  <c r="G13" i="21"/>
  <c r="I12" i="21"/>
  <c r="I14" i="21"/>
  <c r="I15" i="21"/>
  <c r="I11" i="21"/>
  <c r="T25" i="11"/>
  <c r="G25" i="11"/>
  <c r="F25" i="11"/>
  <c r="E25" i="11"/>
  <c r="I10" i="21"/>
  <c r="I13" i="21"/>
  <c r="I8" i="21"/>
  <c r="I9" i="21"/>
  <c r="AE15" i="21"/>
  <c r="AE14" i="21"/>
  <c r="L25" i="11" s="1"/>
  <c r="AE12" i="21"/>
  <c r="AE9" i="21"/>
  <c r="AE11" i="21"/>
  <c r="AE8" i="21"/>
  <c r="AE10" i="21"/>
  <c r="AG1" i="21"/>
  <c r="AF2" i="21"/>
  <c r="AF3" i="21" s="1"/>
  <c r="AF9" i="21" s="1"/>
  <c r="G32" i="18"/>
  <c r="G31" i="18"/>
  <c r="G33" i="18"/>
  <c r="G36" i="18"/>
  <c r="G34" i="18"/>
  <c r="G30" i="18"/>
  <c r="A17" i="17"/>
  <c r="A18" i="17"/>
  <c r="A19" i="17"/>
  <c r="A20" i="17"/>
  <c r="A7" i="17"/>
  <c r="A8" i="17"/>
  <c r="A9" i="17"/>
  <c r="A10" i="17"/>
  <c r="A11" i="17"/>
  <c r="A12" i="17"/>
  <c r="A13" i="17"/>
  <c r="A14" i="17"/>
  <c r="A15" i="17"/>
  <c r="A16" i="17"/>
  <c r="A6" i="17"/>
  <c r="C27" i="11"/>
  <c r="C21" i="11"/>
  <c r="C22" i="11"/>
  <c r="C34" i="11"/>
  <c r="C35" i="11"/>
  <c r="C31" i="11"/>
  <c r="C32" i="11"/>
  <c r="C33" i="11"/>
  <c r="C30" i="11"/>
  <c r="C26" i="11"/>
  <c r="C25" i="11"/>
  <c r="C13" i="11"/>
  <c r="C14" i="11"/>
  <c r="C15" i="11"/>
  <c r="C16" i="11"/>
  <c r="C17" i="11"/>
  <c r="C18" i="11"/>
  <c r="C19" i="11"/>
  <c r="C20" i="11"/>
  <c r="C12" i="11"/>
  <c r="M8" i="19" a="1"/>
  <c r="D30" i="11" a="1"/>
  <c r="T8" i="21" a="1"/>
  <c r="M8" i="19" l="1"/>
  <c r="CB20" i="21"/>
  <c r="S59" i="11" s="1"/>
  <c r="CC20" i="21"/>
  <c r="J59" i="11"/>
  <c r="L59" i="11"/>
  <c r="H59" i="11"/>
  <c r="O59" i="11"/>
  <c r="Q59" i="11"/>
  <c r="M59" i="11"/>
  <c r="I59" i="11"/>
  <c r="R59" i="11"/>
  <c r="P59" i="11"/>
  <c r="G59" i="11"/>
  <c r="K59" i="11"/>
  <c r="N59" i="11"/>
  <c r="U25" i="11"/>
  <c r="U12" i="11"/>
  <c r="D30" i="11"/>
  <c r="T8" i="21"/>
  <c r="U8" i="21" s="1"/>
  <c r="AF15" i="21"/>
  <c r="AF14" i="21"/>
  <c r="M25" i="11" s="1"/>
  <c r="AF12" i="21"/>
  <c r="AF10" i="21"/>
  <c r="AF11" i="21"/>
  <c r="AF8" i="21"/>
  <c r="AF13" i="21"/>
  <c r="AH1" i="21"/>
  <c r="AG2" i="21"/>
  <c r="AG3" i="21" s="1"/>
  <c r="AG10" i="21" s="1"/>
  <c r="K30" i="11" l="1"/>
  <c r="S30" i="11"/>
  <c r="H30" i="11"/>
  <c r="I30" i="11"/>
  <c r="L30" i="11"/>
  <c r="M30" i="11"/>
  <c r="R30" i="11"/>
  <c r="N30" i="11"/>
  <c r="O30" i="11"/>
  <c r="P30" i="11"/>
  <c r="Q30" i="11"/>
  <c r="J30" i="11"/>
  <c r="G30" i="11"/>
  <c r="AG15" i="21"/>
  <c r="AG14" i="21"/>
  <c r="N25" i="11" s="1"/>
  <c r="AG12" i="21"/>
  <c r="AG13" i="21"/>
  <c r="AG11" i="21"/>
  <c r="AG8" i="21"/>
  <c r="AG9" i="21"/>
  <c r="AI1" i="21"/>
  <c r="AH2" i="21"/>
  <c r="AH3" i="21" s="1"/>
  <c r="AH8" i="21" s="1"/>
  <c r="U30" i="11" l="1"/>
  <c r="AH15" i="21"/>
  <c r="AH14" i="21"/>
  <c r="O25" i="11" s="1"/>
  <c r="AH12" i="21"/>
  <c r="AH13" i="21"/>
  <c r="AH10" i="21"/>
  <c r="AH11" i="21"/>
  <c r="AH9" i="21"/>
  <c r="AJ1" i="21"/>
  <c r="AI2" i="21"/>
  <c r="AI3" i="21" s="1"/>
  <c r="AI11" i="21" s="1"/>
  <c r="E30" i="11"/>
  <c r="F30" i="11"/>
  <c r="T30" i="11"/>
  <c r="AI15" i="21" l="1"/>
  <c r="AI14" i="21"/>
  <c r="P25" i="11" s="1"/>
  <c r="AI12" i="21"/>
  <c r="AI9" i="21"/>
  <c r="AI8" i="21"/>
  <c r="AI10" i="21"/>
  <c r="AI13" i="21"/>
  <c r="AK1" i="21"/>
  <c r="AJ2" i="21"/>
  <c r="AJ3" i="21" s="1"/>
  <c r="AJ11" i="21" s="1"/>
  <c r="AJ15" i="21" l="1"/>
  <c r="AJ14" i="21"/>
  <c r="Q25" i="11" s="1"/>
  <c r="AJ12" i="21"/>
  <c r="AJ10" i="21"/>
  <c r="AJ8" i="21"/>
  <c r="AJ13" i="21"/>
  <c r="AJ9" i="21"/>
  <c r="AL1" i="21"/>
  <c r="AK2" i="21"/>
  <c r="AK3" i="21" s="1"/>
  <c r="AK10" i="21" s="1"/>
  <c r="AK15" i="21" l="1"/>
  <c r="AK14" i="21"/>
  <c r="AK12" i="21"/>
  <c r="AK13" i="21"/>
  <c r="AK11" i="21"/>
  <c r="AK9" i="21"/>
  <c r="AK8" i="21"/>
  <c r="AL2" i="21"/>
  <c r="AL3" i="21" s="1"/>
  <c r="AL13" i="21" s="1"/>
  <c r="AL15" i="21" l="1"/>
  <c r="AL14" i="21"/>
  <c r="AL12" i="21"/>
  <c r="AL11" i="21"/>
  <c r="AL10" i="21"/>
  <c r="AL8" i="21"/>
  <c r="AL9" i="21"/>
  <c r="T14" i="21" a="1"/>
  <c r="V11" i="21" a="1"/>
  <c r="V13" i="21" a="1"/>
  <c r="T10" i="21" a="1"/>
  <c r="V8" i="21" a="1"/>
  <c r="T11" i="21" a="1"/>
  <c r="V12" i="21" a="1"/>
  <c r="T12" i="21" a="1"/>
  <c r="T13" i="21" a="1"/>
  <c r="V15" i="21" a="1"/>
  <c r="V9" i="21" a="1"/>
  <c r="T9" i="21" a="1"/>
  <c r="T15" i="21" a="1"/>
  <c r="V14" i="21" a="1"/>
  <c r="V10" i="21" a="1"/>
  <c r="T9" i="21" l="1"/>
  <c r="U9" i="21" s="1"/>
  <c r="V13" i="21"/>
  <c r="W13" i="21" s="1"/>
  <c r="T12" i="21"/>
  <c r="U12" i="21" s="1"/>
  <c r="V12" i="21"/>
  <c r="W12" i="21" s="1"/>
  <c r="T11" i="21"/>
  <c r="U11" i="21" s="1"/>
  <c r="V11" i="21"/>
  <c r="W11" i="21" s="1"/>
  <c r="T10" i="21"/>
  <c r="U10" i="21" s="1"/>
  <c r="V14" i="21"/>
  <c r="W14" i="21" s="1"/>
  <c r="T13" i="21"/>
  <c r="U13" i="21" s="1"/>
  <c r="V9" i="21"/>
  <c r="W9" i="21" s="1"/>
  <c r="T15" i="21"/>
  <c r="U15" i="21" s="1"/>
  <c r="V15" i="21"/>
  <c r="W15" i="21" s="1"/>
  <c r="V8" i="21"/>
  <c r="W8" i="21" s="1"/>
  <c r="T14" i="21"/>
  <c r="U14" i="21" s="1"/>
  <c r="V10" i="21"/>
  <c r="W10" i="21" s="1"/>
  <c r="T12" i="11"/>
  <c r="E12" i="11" l="1"/>
  <c r="F12" i="11"/>
  <c r="D26" i="11" a="1"/>
  <c r="D26" i="11" l="1"/>
  <c r="D27" i="11" a="1"/>
  <c r="T26" i="11" l="1"/>
  <c r="G26" i="11"/>
  <c r="O26" i="11"/>
  <c r="L26" i="11"/>
  <c r="H26" i="11"/>
  <c r="P26" i="11"/>
  <c r="I26" i="11"/>
  <c r="Q26" i="11"/>
  <c r="S26" i="11"/>
  <c r="J26" i="11"/>
  <c r="R26" i="11"/>
  <c r="K26" i="11"/>
  <c r="M26" i="11"/>
  <c r="N26" i="11"/>
  <c r="E26" i="11"/>
  <c r="F26" i="11"/>
  <c r="D27" i="11"/>
  <c r="U26" i="11" l="1"/>
  <c r="J27" i="11"/>
  <c r="J39" i="11" s="1"/>
  <c r="R27" i="11"/>
  <c r="R39" i="11" s="1"/>
  <c r="K27" i="11"/>
  <c r="K39" i="11" s="1"/>
  <c r="S27" i="11"/>
  <c r="S39" i="11" s="1"/>
  <c r="N27" i="11"/>
  <c r="N39" i="11" s="1"/>
  <c r="Q27" i="11"/>
  <c r="Q39" i="11" s="1"/>
  <c r="L27" i="11"/>
  <c r="L44" i="11" s="1"/>
  <c r="L53" i="11" s="1"/>
  <c r="O27" i="11"/>
  <c r="O39" i="11" s="1"/>
  <c r="M27" i="11"/>
  <c r="M39" i="11" s="1"/>
  <c r="G27" i="11"/>
  <c r="G39" i="11" s="1"/>
  <c r="H27" i="11"/>
  <c r="H39" i="11" s="1"/>
  <c r="P27" i="11"/>
  <c r="P44" i="11" s="1"/>
  <c r="P55" i="11" s="1"/>
  <c r="I27" i="11"/>
  <c r="I39" i="11" s="1"/>
  <c r="E27" i="11"/>
  <c r="F27" i="11"/>
  <c r="T27" i="11"/>
  <c r="P39" i="11" l="1"/>
  <c r="L39" i="11"/>
  <c r="K44" i="11"/>
  <c r="K53" i="11" s="1"/>
  <c r="U27" i="11"/>
  <c r="U52" i="11" s="1"/>
  <c r="I44" i="11"/>
  <c r="I54" i="11" s="1"/>
  <c r="Q44" i="11"/>
  <c r="Q55" i="11" s="1"/>
  <c r="N44" i="11"/>
  <c r="N54" i="11" s="1"/>
  <c r="P53" i="11"/>
  <c r="P54" i="11"/>
  <c r="J44" i="11"/>
  <c r="J53" i="11" s="1"/>
  <c r="H44" i="11"/>
  <c r="L55" i="11"/>
  <c r="R44" i="11"/>
  <c r="L54" i="11"/>
  <c r="O44" i="11"/>
  <c r="O54" i="11" s="1"/>
  <c r="M44" i="11"/>
  <c r="M53" i="11" s="1"/>
  <c r="G44" i="11"/>
  <c r="G53" i="11" s="1"/>
  <c r="S44" i="11"/>
  <c r="S55" i="11" s="1"/>
  <c r="K54" i="11" l="1"/>
  <c r="K55" i="11"/>
  <c r="I55" i="11"/>
  <c r="I53" i="11"/>
  <c r="Q54" i="11"/>
  <c r="P52" i="11"/>
  <c r="Q53" i="11"/>
  <c r="J55" i="11"/>
  <c r="J54" i="11"/>
  <c r="N55" i="11"/>
  <c r="N53" i="11"/>
  <c r="S54" i="11"/>
  <c r="S53" i="11"/>
  <c r="L52" i="11"/>
  <c r="H53" i="11"/>
  <c r="H55" i="11"/>
  <c r="H54" i="11"/>
  <c r="G55" i="11"/>
  <c r="O53" i="11"/>
  <c r="O55" i="11"/>
  <c r="G54" i="11"/>
  <c r="M54" i="11"/>
  <c r="M55" i="11"/>
  <c r="R54" i="11"/>
  <c r="R55" i="11"/>
  <c r="R53" i="11"/>
  <c r="K52" i="11" l="1"/>
  <c r="I52" i="11"/>
  <c r="Q52" i="11"/>
  <c r="N52" i="11"/>
  <c r="S52" i="11"/>
  <c r="J52" i="11"/>
  <c r="G52" i="11"/>
  <c r="O52" i="11"/>
  <c r="M52" i="11"/>
  <c r="H52" i="11"/>
  <c r="R52" i="11"/>
  <c r="D13" i="11" a="1"/>
  <c r="D13" i="11" l="1"/>
  <c r="O13" i="11" s="1"/>
  <c r="G13" i="11"/>
  <c r="J13" i="11"/>
  <c r="K13" i="11"/>
  <c r="Q13" i="11" l="1"/>
  <c r="M13" i="11"/>
  <c r="H13" i="11"/>
  <c r="R13" i="11"/>
  <c r="I13" i="11"/>
  <c r="L13" i="11"/>
  <c r="P13" i="11"/>
  <c r="N13" i="11"/>
  <c r="S13" i="11"/>
  <c r="U13" i="11"/>
  <c r="F13" i="11" l="1"/>
  <c r="T13" i="11"/>
  <c r="E13" i="11"/>
  <c r="D31" i="11" a="1"/>
  <c r="D31" i="11" l="1"/>
  <c r="D32" i="11" a="1"/>
  <c r="G31" i="11" l="1"/>
  <c r="O31" i="11"/>
  <c r="H31" i="11"/>
  <c r="P31" i="11"/>
  <c r="I31" i="11"/>
  <c r="Q31" i="11"/>
  <c r="N31" i="11"/>
  <c r="J31" i="11"/>
  <c r="R31" i="11"/>
  <c r="K31" i="11"/>
  <c r="S31" i="11"/>
  <c r="L31" i="11"/>
  <c r="M31" i="11"/>
  <c r="D32" i="11"/>
  <c r="F31" i="11"/>
  <c r="E31" i="11"/>
  <c r="T31" i="11"/>
  <c r="D33" i="11" a="1"/>
  <c r="U31" i="11" l="1"/>
  <c r="J32" i="11"/>
  <c r="R32" i="11"/>
  <c r="Q32" i="11"/>
  <c r="K32" i="11"/>
  <c r="S32" i="11"/>
  <c r="L32" i="11"/>
  <c r="M32" i="11"/>
  <c r="N32" i="11"/>
  <c r="I32" i="11"/>
  <c r="G32" i="11"/>
  <c r="O32" i="11"/>
  <c r="H32" i="11"/>
  <c r="P32" i="11"/>
  <c r="T32" i="11"/>
  <c r="E32" i="11"/>
  <c r="F32" i="11"/>
  <c r="D33" i="11"/>
  <c r="D34" i="11" a="1"/>
  <c r="U32" i="11" l="1"/>
  <c r="M33" i="11"/>
  <c r="N33" i="11"/>
  <c r="L33" i="11"/>
  <c r="G33" i="11"/>
  <c r="O33" i="11"/>
  <c r="H33" i="11"/>
  <c r="P33" i="11"/>
  <c r="I33" i="11"/>
  <c r="Q33" i="11"/>
  <c r="J33" i="11"/>
  <c r="R33" i="11"/>
  <c r="K33" i="11"/>
  <c r="S33" i="11"/>
  <c r="D34" i="11"/>
  <c r="D35" i="11" a="1"/>
  <c r="U33" i="11" l="1"/>
  <c r="H34" i="11"/>
  <c r="P34" i="11"/>
  <c r="I34" i="11"/>
  <c r="Q34" i="11"/>
  <c r="J34" i="11"/>
  <c r="R34" i="11"/>
  <c r="K34" i="11"/>
  <c r="S34" i="11"/>
  <c r="G34" i="11"/>
  <c r="L34" i="11"/>
  <c r="M34" i="11"/>
  <c r="N34" i="11"/>
  <c r="O34" i="11"/>
  <c r="D35" i="11"/>
  <c r="E33" i="11"/>
  <c r="F33" i="11"/>
  <c r="T33" i="11"/>
  <c r="E34" i="11"/>
  <c r="F34" i="11"/>
  <c r="T34" i="11"/>
  <c r="U34" i="11" l="1"/>
  <c r="K35" i="11"/>
  <c r="S35" i="11"/>
  <c r="L35" i="11"/>
  <c r="Q35" i="11"/>
  <c r="M35" i="11"/>
  <c r="R35" i="11"/>
  <c r="N35" i="11"/>
  <c r="I35" i="11"/>
  <c r="G35" i="11"/>
  <c r="O35" i="11"/>
  <c r="H35" i="11"/>
  <c r="P35" i="11"/>
  <c r="J35" i="11"/>
  <c r="E35" i="11"/>
  <c r="T35" i="11"/>
  <c r="F35" i="11"/>
  <c r="U35" i="11" l="1"/>
  <c r="T16" i="21" a="1"/>
  <c r="V16" i="21" a="1"/>
  <c r="V16" i="21" l="1"/>
  <c r="W16" i="21" s="1"/>
  <c r="T16" i="21"/>
  <c r="U16" i="21" s="1"/>
  <c r="D14" i="11" a="1"/>
  <c r="D14" i="11"/>
  <c r="D15" i="11" a="1"/>
  <c r="J14" i="11"/>
  <c r="O14" i="11"/>
  <c r="R14" i="11"/>
  <c r="Q14" i="11"/>
  <c r="M14" i="11"/>
  <c r="H14" i="11"/>
  <c r="K14" i="11"/>
  <c r="P14" i="11"/>
  <c r="S14" i="11"/>
  <c r="I14" i="11"/>
  <c r="L14" i="11"/>
  <c r="D15" i="11"/>
  <c r="N14" i="11"/>
  <c r="G14" i="11"/>
  <c r="D16" i="11" a="1"/>
  <c r="U14" i="11"/>
  <c r="M15" i="11"/>
  <c r="J15" i="11"/>
  <c r="K15" i="11"/>
  <c r="L15" i="11"/>
  <c r="D16" i="11"/>
  <c r="Q15" i="11"/>
  <c r="N15" i="11"/>
  <c r="R15" i="11"/>
  <c r="H15" i="11"/>
  <c r="S15" i="11"/>
  <c r="P15" i="11"/>
  <c r="G15" i="11"/>
  <c r="O15" i="11"/>
  <c r="I15" i="11"/>
  <c r="H16" i="11"/>
  <c r="L16" i="11"/>
  <c r="P16" i="11"/>
  <c r="G16" i="11"/>
  <c r="Q16" i="11"/>
  <c r="N16" i="11"/>
  <c r="R16" i="11"/>
  <c r="U15" i="11"/>
  <c r="S16" i="11"/>
  <c r="M16" i="11"/>
  <c r="I16" i="11"/>
  <c r="O16" i="11"/>
  <c r="J16" i="11"/>
  <c r="K16" i="11"/>
  <c r="U16" i="11"/>
  <c r="F16" i="11"/>
  <c r="F14" i="11"/>
  <c r="E16" i="11"/>
  <c r="E15" i="11"/>
  <c r="F15" i="11"/>
  <c r="T15" i="11"/>
  <c r="T14" i="11"/>
  <c r="E14" i="11"/>
  <c r="T16" i="11"/>
  <c r="D17" i="11" a="1"/>
  <c r="D17" i="11"/>
  <c r="F17" i="11"/>
  <c r="T17" i="11"/>
  <c r="E17" i="11"/>
  <c r="H17" i="11"/>
  <c r="J17" i="11"/>
  <c r="U17" i="11"/>
  <c r="M17" i="11"/>
  <c r="I17" i="11"/>
  <c r="L17" i="11"/>
  <c r="S17" i="11"/>
  <c r="O17" i="11"/>
  <c r="G17" i="11"/>
  <c r="N17" i="11"/>
  <c r="Q17" i="11"/>
  <c r="R17" i="11"/>
  <c r="P17" i="11"/>
  <c r="K17" i="11"/>
  <c r="D18" i="11" a="1"/>
  <c r="D18" i="11"/>
  <c r="E18" i="11"/>
  <c r="T18" i="11"/>
  <c r="F18" i="11"/>
  <c r="J18" i="11"/>
  <c r="U18" i="11"/>
  <c r="P18" i="11"/>
  <c r="H18" i="11"/>
  <c r="L18" i="11"/>
  <c r="O18" i="11"/>
  <c r="S18" i="11"/>
  <c r="G18" i="11"/>
  <c r="M18" i="11"/>
  <c r="I18" i="11"/>
  <c r="K18" i="11"/>
  <c r="Q18" i="11"/>
  <c r="R18" i="11"/>
  <c r="N18" i="11"/>
  <c r="D19" i="11" a="1"/>
  <c r="D19" i="11"/>
  <c r="F19" i="11"/>
  <c r="T19" i="11"/>
  <c r="E19" i="11"/>
  <c r="L19" i="11"/>
  <c r="K19" i="11"/>
  <c r="R19" i="11"/>
  <c r="G19" i="11"/>
  <c r="J19" i="11"/>
  <c r="U19" i="11"/>
  <c r="Q19" i="11"/>
  <c r="M19" i="11"/>
  <c r="S19" i="11"/>
  <c r="P19" i="11"/>
  <c r="O19" i="11"/>
  <c r="N19" i="11"/>
  <c r="H19" i="11"/>
  <c r="I19" i="11"/>
  <c r="D20" i="11" a="1"/>
  <c r="D20" i="11"/>
  <c r="E20" i="11"/>
  <c r="F20" i="11"/>
  <c r="T20" i="11"/>
  <c r="S20" i="11"/>
  <c r="H20" i="11"/>
  <c r="J20" i="11"/>
  <c r="U20" i="11"/>
  <c r="K20" i="11"/>
  <c r="O20" i="11"/>
  <c r="G20" i="11"/>
  <c r="P20" i="11"/>
  <c r="R20" i="11"/>
  <c r="N20" i="11"/>
  <c r="Q20" i="11"/>
  <c r="M20" i="11"/>
  <c r="I20" i="11"/>
  <c r="L20" i="11"/>
  <c r="D21" i="11" a="1"/>
  <c r="D21" i="11"/>
  <c r="I21" i="11"/>
  <c r="P21" i="11"/>
  <c r="H21" i="11"/>
  <c r="L21" i="11"/>
  <c r="J21" i="11"/>
  <c r="E21" i="11"/>
  <c r="Q21" i="11"/>
  <c r="T21" i="11"/>
  <c r="S21" i="11"/>
  <c r="O21" i="11"/>
  <c r="F21" i="11"/>
  <c r="K21" i="11"/>
  <c r="G21" i="11"/>
  <c r="N21" i="11"/>
  <c r="M21" i="11"/>
  <c r="R21" i="11"/>
  <c r="D22" i="11" a="1"/>
  <c r="D22" i="11"/>
  <c r="M6" i="19"/>
  <c r="U21" i="11"/>
  <c r="E22" i="11"/>
  <c r="I22" i="11"/>
  <c r="J22" i="11"/>
  <c r="G22" i="11"/>
  <c r="R22" i="11"/>
  <c r="O22" i="11"/>
  <c r="K22" i="11"/>
  <c r="Q22" i="11"/>
  <c r="T22" i="11"/>
  <c r="N22" i="11"/>
  <c r="S22" i="11"/>
  <c r="H22" i="11"/>
  <c r="F22" i="11"/>
  <c r="L22" i="11"/>
  <c r="P22" i="11"/>
  <c r="M22" i="11"/>
  <c r="U22" i="11"/>
  <c r="M38" i="11"/>
  <c r="M40" i="11"/>
  <c r="K38" i="11"/>
  <c r="K40" i="11"/>
  <c r="N38" i="11"/>
  <c r="N40" i="11"/>
  <c r="M43" i="11"/>
  <c r="Q38" i="11"/>
  <c r="Q40" i="11"/>
  <c r="S38" i="11"/>
  <c r="S40" i="11"/>
  <c r="R43" i="11"/>
  <c r="R49" i="11"/>
  <c r="H43" i="11"/>
  <c r="H51" i="11"/>
  <c r="I43" i="11"/>
  <c r="I50" i="11"/>
  <c r="R38" i="11"/>
  <c r="R40" i="11"/>
  <c r="H38" i="11"/>
  <c r="H40" i="11"/>
  <c r="I38" i="11"/>
  <c r="I40" i="11"/>
  <c r="P38" i="11"/>
  <c r="P40" i="11"/>
  <c r="Q43" i="11"/>
  <c r="Q49" i="11"/>
  <c r="J43" i="11"/>
  <c r="L43" i="11"/>
  <c r="G43" i="11"/>
  <c r="G49" i="11"/>
  <c r="U48" i="11"/>
  <c r="U56" i="11"/>
  <c r="J38" i="11"/>
  <c r="J40" i="11"/>
  <c r="L38" i="11"/>
  <c r="L40" i="11"/>
  <c r="G38" i="11"/>
  <c r="G40" i="11"/>
  <c r="N43" i="11"/>
  <c r="N45" i="11"/>
  <c r="P43" i="11"/>
  <c r="O43" i="11"/>
  <c r="K43" i="11"/>
  <c r="K50" i="11"/>
  <c r="O38" i="11"/>
  <c r="O40" i="11"/>
  <c r="S43" i="11"/>
  <c r="N50" i="11"/>
  <c r="P50" i="11"/>
  <c r="J51" i="11"/>
  <c r="H45" i="11"/>
  <c r="J49" i="11"/>
  <c r="H49" i="11"/>
  <c r="K45" i="11"/>
  <c r="J50" i="11"/>
  <c r="L49" i="11"/>
  <c r="P45" i="11"/>
  <c r="S45" i="11"/>
  <c r="M51" i="11"/>
  <c r="O45" i="11"/>
  <c r="P49" i="11"/>
  <c r="G50" i="11"/>
  <c r="H50" i="11"/>
  <c r="I45" i="11"/>
  <c r="G45" i="11"/>
  <c r="M45" i="11"/>
  <c r="Q51" i="11"/>
  <c r="R51" i="11"/>
  <c r="S49" i="11"/>
  <c r="N49" i="11"/>
  <c r="K51" i="11"/>
  <c r="S50" i="11"/>
  <c r="M50" i="11"/>
  <c r="S51" i="11"/>
  <c r="I51" i="11"/>
  <c r="G51" i="11"/>
  <c r="I49" i="11"/>
  <c r="K49" i="11"/>
  <c r="Q50" i="11"/>
  <c r="P51" i="11"/>
  <c r="O50" i="11"/>
  <c r="R50" i="11"/>
  <c r="Q45" i="11"/>
  <c r="L45" i="11"/>
  <c r="O51" i="11"/>
  <c r="R45" i="11"/>
  <c r="L50" i="11"/>
  <c r="O49" i="11"/>
  <c r="N51" i="11"/>
  <c r="L51" i="11"/>
  <c r="M49" i="11"/>
  <c r="J45" i="11"/>
  <c r="N48" i="11"/>
  <c r="N56" i="11"/>
  <c r="N61" i="11"/>
  <c r="G48" i="11"/>
  <c r="G56" i="11"/>
  <c r="G61" i="11"/>
  <c r="R48" i="11"/>
  <c r="R56" i="11"/>
  <c r="R61" i="11"/>
  <c r="K48" i="11"/>
  <c r="K56" i="11"/>
  <c r="K61" i="11"/>
  <c r="O48" i="11"/>
  <c r="O56" i="11"/>
  <c r="O61" i="11"/>
  <c r="Q48" i="11"/>
  <c r="Q56" i="11"/>
  <c r="Q61" i="11"/>
  <c r="P48" i="11"/>
  <c r="P56" i="11"/>
  <c r="P61" i="11"/>
  <c r="S48" i="11"/>
  <c r="S56" i="11"/>
  <c r="S61" i="11"/>
  <c r="J48" i="11"/>
  <c r="J56" i="11"/>
  <c r="J61" i="11"/>
  <c r="M48" i="11"/>
  <c r="M56" i="11"/>
  <c r="M61" i="11"/>
  <c r="H48" i="11"/>
  <c r="H56" i="11"/>
  <c r="H61" i="11"/>
  <c r="L48" i="11"/>
  <c r="L56" i="11"/>
  <c r="L61" i="11"/>
  <c r="I48" i="11"/>
  <c r="I56" i="11"/>
  <c r="I6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O4" authorId="0" shapeId="0" xr:uid="{00000000-0006-0000-0000-000004000000}">
      <text>
        <r>
          <rPr>
            <sz val="10"/>
            <color indexed="81"/>
            <rFont val="Times New Roman"/>
            <family val="1"/>
          </rPr>
          <t xml:space="preserve">Công văn 1989/BHXH–QLT về truy thu thẻ BHYT khi nghỉ việc
1. Thu hồi thẻ BHYT: thay thế khoản 4 mục III Văn bản 212/BHXH-QLT
1.1. Đơn vị sử dụng lao động thu hồi thẻ BHYT còn hạn sử dụng của người lao động ngừng tham gia BHYT (trừ trường hợp chết; chờ giải quyết chế độ hưu trí, trợ cấp tai nạn lao động – bệnh nghề nghiệp hằng tháng) để chuyển trả cơ quan BHXH. Trường hợp người lao động không trả lại thẻ mà dùng thẻ này đi khám chữa bệnh, các cơ sở khám chữa bệnh sẽ tra cứu dữ liệu thẻ BHYT và thu hồi lại thẻ BHYT.
Cơ quan BHXH căn cứ vào tháng (không căn cứ ngày) đơn vị lập hồ sơ báo giảm người lao động để </t>
        </r>
        <r>
          <rPr>
            <b/>
            <sz val="10"/>
            <color indexed="81"/>
            <rFont val="Times New Roman"/>
            <family val="1"/>
          </rPr>
          <t>thu thêm giá trị thẻ BHYT đến hết tháng lập hồ sơ báo giảm</t>
        </r>
        <r>
          <rPr>
            <sz val="10"/>
            <color indexed="81"/>
            <rFont val="Times New Roman"/>
            <family val="1"/>
          </rPr>
          <t xml:space="preserve">, không thu thêm giá trị thẻ BHYT từ tháng liền kề tháng lập hồ sơ báo giảm đến khi thẻ hết hạn sử dụng“
</t>
        </r>
        <r>
          <rPr>
            <b/>
            <sz val="10"/>
            <color indexed="81"/>
            <rFont val="Times New Roman"/>
            <family val="1"/>
          </rPr>
          <t>GHI CHÚ RIÊNG: Giá trị thẻ thu thêm được tính bằng Mức lương tháng cuối cùng đóng BHXH * 4.5%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<sst xmlns="http://schemas.openxmlformats.org/spreadsheetml/2006/main" count="776" uniqueCount="339">
  <si>
    <t>Họ và tên</t>
  </si>
  <si>
    <t>Nguyễn Thu Thủy</t>
  </si>
  <si>
    <t>BHXH</t>
  </si>
  <si>
    <t>BHYT</t>
  </si>
  <si>
    <t>BHTN</t>
  </si>
  <si>
    <t>MS</t>
  </si>
  <si>
    <t>STT</t>
  </si>
  <si>
    <t>Không tham gia BHXH</t>
  </si>
  <si>
    <t>Số sổ BHXH</t>
  </si>
  <si>
    <t>Mã NV</t>
  </si>
  <si>
    <t>Họ tên</t>
  </si>
  <si>
    <t>Ngày nghỉ việc</t>
  </si>
  <si>
    <t>Tình trạng sổ BHXH</t>
  </si>
  <si>
    <t>Số thẻ BHYT</t>
  </si>
  <si>
    <t>Hình thức đóng</t>
  </si>
  <si>
    <t>Kỳ trước mang sang</t>
  </si>
  <si>
    <t>Ngày trả sổ</t>
  </si>
  <si>
    <t>Ghi chú</t>
  </si>
  <si>
    <t>Trừ tiền thẻ BHYT nghỉ việc/Ro (+)</t>
  </si>
  <si>
    <t>Ghi chú màu</t>
  </si>
  <si>
    <t>Đơn vị</t>
  </si>
  <si>
    <t>CÔNG TY</t>
  </si>
  <si>
    <t>ĐÓNG NHỜ</t>
  </si>
  <si>
    <t>I. DANH SÁCH NHÂN VIÊN ĐÓNG BHXH</t>
  </si>
  <si>
    <t>II. DANH SÁCH ĐÓNG NHỜ BHXH TẠI CÔNG TY</t>
  </si>
  <si>
    <t>III. DANH SÁCH THÔI ĐÓNG BHXH DO NGHỈ VIỆC</t>
  </si>
  <si>
    <t>IV. THỐNG KÊ SỐ LƯỢNG NHÂN VIÊN ĐÓNG BHXH</t>
  </si>
  <si>
    <t>V. TỔNG MỨC LƯƠNG ĐÓNG BHXH, BHYT, BHTN</t>
  </si>
  <si>
    <t>VI. TỔNG SỐ TIỀN ĐÓNG BHXH, BHYT, BHTN</t>
  </si>
  <si>
    <t>TỔNG MỨC LƯƠNG</t>
  </si>
  <si>
    <t>TỔNG SỐ TIỀN ĐÓNG</t>
  </si>
  <si>
    <t>TỔNG SỐ NHÂN VIÊN ĐÓNG</t>
  </si>
  <si>
    <t>Chênh lệch</t>
  </si>
  <si>
    <t>BẢNG THEO DÕI SỔ BHXH, THẺ BHYT</t>
  </si>
  <si>
    <t>CT</t>
  </si>
  <si>
    <t>Điền</t>
  </si>
  <si>
    <t>Chọn</t>
  </si>
  <si>
    <t>Cơ quan BHXH giữ</t>
  </si>
  <si>
    <t>Công ty lưu</t>
  </si>
  <si>
    <t>NLĐ lưu</t>
  </si>
  <si>
    <t>Đã chốt và trả sổ</t>
  </si>
  <si>
    <t>Người lao động</t>
  </si>
  <si>
    <t>Người sử dụng lao động</t>
  </si>
  <si>
    <t>BHXH - Quỹ hưu trí, tử tuất</t>
  </si>
  <si>
    <t>BHXH - Quỹ ốm đau, thai sản</t>
  </si>
  <si>
    <t>BHXH - Quỹ TNLĐ, Bệnh nghề nghiệp</t>
  </si>
  <si>
    <t>Thời gian áp dụng</t>
  </si>
  <si>
    <t>Tổng bảo hiểm</t>
  </si>
  <si>
    <t>06/2017 – nay</t>
  </si>
  <si>
    <t>01/2010 – 12/2011</t>
  </si>
  <si>
    <t>01/2012 – 12/2013</t>
  </si>
  <si>
    <t>01/2014 – 05/2017</t>
  </si>
  <si>
    <t>01/2007 – 12/2008</t>
  </si>
  <si>
    <t>01/2009 – 12/2009</t>
  </si>
  <si>
    <t>12/2015 – 05/2017</t>
  </si>
  <si>
    <t>TỶ LỆ ĐÓNG BHXH QUA CÁC NĂM</t>
  </si>
  <si>
    <t>MỨC LƯƠNG CƠ SỞ QUA CÁC NĂM</t>
  </si>
  <si>
    <t>Thời điểm áp dụng</t>
  </si>
  <si>
    <t>Mức lương cơ sở (đồng/tháng)</t>
  </si>
  <si>
    <t>Căn cứ pháp lý</t>
  </si>
  <si>
    <t>Nghị định 203/2004/NĐ-CP</t>
  </si>
  <si>
    <t>Nghị định 118/2005/NĐ-CP</t>
  </si>
  <si>
    <t>Nghị định 94/2006/NĐ-CP</t>
  </si>
  <si>
    <t>Nghị định 166/2007/NĐ-CP </t>
  </si>
  <si>
    <t>Nghị định 33/2009/NĐ-CP</t>
  </si>
  <si>
    <t>Nghị định 28/2010/NĐ-CP</t>
  </si>
  <si>
    <t>Nghị định 22/2011/NĐ-CP</t>
  </si>
  <si>
    <t>Nghị định 31/2012/NĐ-CP</t>
  </si>
  <si>
    <t>Nghị định 66/2013/NĐ-CP</t>
  </si>
  <si>
    <t>Nghị định 47/2016/NĐ-CP</t>
  </si>
  <si>
    <t>Nghị định 47/2017/NĐ-CP</t>
  </si>
  <si>
    <t>Nghị định 72/2018/NĐ-CP</t>
  </si>
  <si>
    <t>Nghị quyết 70/2018/QH14</t>
  </si>
  <si>
    <t>10/2004 - 09/2005</t>
  </si>
  <si>
    <t>10/2005 - 09/2006</t>
  </si>
  <si>
    <t>10/2006 - 12/2007</t>
  </si>
  <si>
    <t>01/2008 - 04/2008</t>
  </si>
  <si>
    <t>05/2010 - 04/2011</t>
  </si>
  <si>
    <t>05/2011 - 04/2012</t>
  </si>
  <si>
    <t>05/2012 - 06/2013</t>
  </si>
  <si>
    <t>07/2013 - 04/2016</t>
  </si>
  <si>
    <t>05/2016 - 06/2017</t>
  </si>
  <si>
    <t>07/2017 - 06/2018</t>
  </si>
  <si>
    <t>07/2018 - 06/2019</t>
  </si>
  <si>
    <t>Nghị quyết 86/2019/QH14</t>
  </si>
  <si>
    <t>07/2019 - 06/2020</t>
  </si>
  <si>
    <t>07/2020 - nay
do Covid nên chưa áp dụng</t>
  </si>
  <si>
    <t>MỨC LƯƠNG TỐI THIỂU VÙNG QUA CÁC NĂM</t>
  </si>
  <si>
    <t>05/2009 - 04/2010</t>
  </si>
  <si>
    <t>Thời điểm</t>
  </si>
  <si>
    <t>Vùng I</t>
  </si>
  <si>
    <t>Vùng II</t>
  </si>
  <si>
    <t>Vùng III</t>
  </si>
  <si>
    <t>Vùng IV</t>
  </si>
  <si>
    <t>Năm 2009</t>
  </si>
  <si>
    <t>Nghị định 110/2008/NĐ-CP</t>
  </si>
  <si>
    <t>Năm 2010</t>
  </si>
  <si>
    <t>Năm 2011</t>
  </si>
  <si>
    <t>Năm 2012</t>
  </si>
  <si>
    <t>Năm 2013</t>
  </si>
  <si>
    <t>Năm 2014</t>
  </si>
  <si>
    <t>Năm 2015</t>
  </si>
  <si>
    <t>Năm 2016</t>
  </si>
  <si>
    <t>Năm 2017</t>
  </si>
  <si>
    <t>Năm 2018</t>
  </si>
  <si>
    <t>Nghị định 141/2017/NĐ-CP</t>
  </si>
  <si>
    <t>Mức lương (đồng/tháng)</t>
  </si>
  <si>
    <t>Từ 01/01/2019</t>
  </si>
  <si>
    <t>Nghị định 157/2018/NĐ-CP</t>
  </si>
  <si>
    <t>Từ 01/01/2020</t>
  </si>
  <si>
    <t>Nghị định số 90/2019/NĐ-CP</t>
  </si>
  <si>
    <t>Nghị định 97/2009/NĐ-CP</t>
  </si>
  <si>
    <t>Nghị định 108/2010/NĐ-CP</t>
  </si>
  <si>
    <t>Nghị định 70/2011/NĐ-CP</t>
  </si>
  <si>
    <t>Nghị định 103/2012/NĐ-CP</t>
  </si>
  <si>
    <t>Nghị định 182/2013/NĐ-CP</t>
  </si>
  <si>
    <t>Nghị định 103/2014/NĐ-CP</t>
  </si>
  <si>
    <t>Nghị định 122/2015/NĐ-CP</t>
  </si>
  <si>
    <t>Nghị định 153/2016/NĐ-CP</t>
  </si>
  <si>
    <t>Kiểm tra trùng quá trình</t>
  </si>
  <si>
    <t>Loại thu nhập</t>
  </si>
  <si>
    <t>Trạng thái</t>
  </si>
  <si>
    <t>STT loại thu nhập</t>
  </si>
  <si>
    <t>Kiểm tra</t>
  </si>
  <si>
    <t>Ngày bắt đầu</t>
  </si>
  <si>
    <t>Ngày kết thúc</t>
  </si>
  <si>
    <t>Lý do kết thúc</t>
  </si>
  <si>
    <t>Mức</t>
  </si>
  <si>
    <t>NV001</t>
  </si>
  <si>
    <t>Kỳ BHXH</t>
  </si>
  <si>
    <t>THÔNG TIN PHÁP LUẬT VỀ BẢO HIỂM XÃ HỘI</t>
  </si>
  <si>
    <t>Loại thu nhập đóng BHXH</t>
  </si>
  <si>
    <t>Lương cơ bản</t>
  </si>
  <si>
    <t>Phụ cấp trách nhiệm</t>
  </si>
  <si>
    <t>&lt;Định nghĩa thêm&gt;</t>
  </si>
  <si>
    <t>NV002</t>
  </si>
  <si>
    <t>NV003</t>
  </si>
  <si>
    <t>Lâm Văn B</t>
  </si>
  <si>
    <t>Sài Văn D</t>
  </si>
  <si>
    <t>Đóng nhờ BHXH</t>
  </si>
  <si>
    <t>Năm</t>
  </si>
  <si>
    <t>2 bên đóng</t>
  </si>
  <si>
    <t>Nghỉ việc</t>
  </si>
  <si>
    <t>Thay đổi lương</t>
  </si>
  <si>
    <t>Before start date</t>
  </si>
  <si>
    <t>Start date</t>
  </si>
  <si>
    <t>End date</t>
  </si>
  <si>
    <t>After End date</t>
  </si>
  <si>
    <t>[</t>
  </si>
  <si>
    <t>]</t>
  </si>
  <si>
    <t>OFF</t>
  </si>
  <si>
    <t>ON</t>
  </si>
  <si>
    <t>Day 15</t>
  </si>
  <si>
    <t>Có đóng BHXH hay không</t>
  </si>
  <si>
    <t>[]</t>
  </si>
  <si>
    <t>Cách nhau từ 15 ngày trở lên</t>
  </si>
  <si>
    <t>Cách nhau dưới 15 ngày</t>
  </si>
  <si>
    <t>Trường hợp</t>
  </si>
  <si>
    <t>Điều kiện 2</t>
  </si>
  <si>
    <t>Điều kiện 3</t>
  </si>
  <si>
    <t>Ngày bắt đầu QT = Ngày kết thúc QT</t>
  </si>
  <si>
    <t>Ngày bắt đầu QT &lt; Ngày kết thúc QT</t>
  </si>
  <si>
    <t>Ngày kết thúc QT = Ngày đầu kỳ</t>
  </si>
  <si>
    <t>Ngày kết thúc QT &gt; Ngày đầu kỳ</t>
  </si>
  <si>
    <t>Ngày kết thúc QT &lt; Ngày giữa kỳ</t>
  </si>
  <si>
    <t>Ngày kết thúc QT = Ngày giữa kỳ</t>
  </si>
  <si>
    <t>Ngày kết thúc QT &gt; Ngày giữa kỳ</t>
  </si>
  <si>
    <t>Ngày kết thúc QT &lt; Ngày cuối kỳ</t>
  </si>
  <si>
    <t>Ngày kết thúc QT = Ngày cuối kỳ</t>
  </si>
  <si>
    <t>Ngày kết thúc QT &gt; Ngày cuối kỳ</t>
  </si>
  <si>
    <t>Điều kiện 4</t>
  </si>
  <si>
    <t>Ngày bắt đầu QT &lt; Ngày đầu kỳ</t>
  </si>
  <si>
    <t>Ngày bắt đầu QT = Ngày đầu kỳ</t>
  </si>
  <si>
    <t>Ngày bắt đầu QT &gt; Ngày đầu kỳ</t>
  </si>
  <si>
    <t>Ngày bắt đầu QT &lt; Ngày giữa kỳ</t>
  </si>
  <si>
    <t>Điều kiện 5</t>
  </si>
  <si>
    <t>(Ngày kết thúc QT - Ngày bắt đầu QT) &lt;15</t>
  </si>
  <si>
    <t>(Ngày kết thúc QT - Ngày bắt đầu QT) &gt;=15</t>
  </si>
  <si>
    <t>Ngày bắt đầu QT = Ngày cuối kỳ</t>
  </si>
  <si>
    <t>Ngày bắt đầu QT &gt; Ngày giữa kỳ</t>
  </si>
  <si>
    <t>Ngày bắt đầu QT = Ngày giữa kỳ</t>
  </si>
  <si>
    <t>Ngày bắt đầu QT &gt; Ngày cuối kỳ</t>
  </si>
  <si>
    <t>Ngày bắt đầu QT &lt; Ngày cuối kỳ</t>
  </si>
  <si>
    <t>Ngày kết thúc QT = "31/12/2100"</t>
  </si>
  <si>
    <t>Ngày bắt đầu QT</t>
  </si>
  <si>
    <t>Ngày kết thúc QT</t>
  </si>
  <si>
    <t>Tổng hợp các trường hợp</t>
  </si>
  <si>
    <t>Kết quả</t>
  </si>
  <si>
    <t>Ngày đầu kỳ</t>
  </si>
  <si>
    <t>Ngày cuối kỳ</t>
  </si>
  <si>
    <t>Ngày giữa kỳ</t>
  </si>
  <si>
    <t>CT2</t>
  </si>
  <si>
    <t>CT1</t>
  </si>
  <si>
    <t>CT3</t>
  </si>
  <si>
    <t>CT4</t>
  </si>
  <si>
    <t>CT5</t>
  </si>
  <si>
    <t>CT Tổng hợp</t>
  </si>
  <si>
    <t>Ngày kết thúc QT &lt; Ngày đầu kỳ</t>
  </si>
  <si>
    <t>Điều kiện 6</t>
  </si>
  <si>
    <t>Điều kiện 1
So sánh ngày bắt đầu QT và ngày kết thúc QT để loại bỏ trường hợp nhập nhầm</t>
  </si>
  <si>
    <t>CT6</t>
  </si>
  <si>
    <t>Lỗi</t>
  </si>
  <si>
    <t>$AK$6 &lt; $AJ$2</t>
  </si>
  <si>
    <t>AND($AJ$6 &lt; $AJ$2,$AK$6 = $AJ$2)</t>
  </si>
  <si>
    <t>AND($AJ$6 &lt; $AJ$2,$AK$6 &gt; $AJ$2,$AK$6 &lt; $AL$2)</t>
  </si>
  <si>
    <t>AND($AJ$6 &lt; $AJ$2,$AK$6 = $AL$2)</t>
  </si>
  <si>
    <t>AND($AJ$6 &lt; $AJ$2,$AK$6 &gt; $AL$2,$AK$6 &lt; $AK$2)</t>
  </si>
  <si>
    <t>AND($AJ$6 &lt; $AJ$2,$AK$6 = $AK$2)</t>
  </si>
  <si>
    <t>AND($AJ$6 &lt; $AJ$2,$AK$6 &gt; $AK$2)</t>
  </si>
  <si>
    <t>AND($AJ$6 = $AJ$2,$AK$6 &gt; $AJ$2,$AK$6 &lt; $AL$2)</t>
  </si>
  <si>
    <t>AND($AJ$6 = $AJ$2,$AK$6 = $AL$2)</t>
  </si>
  <si>
    <t>AND($AJ$6 = $AJ$2,$AK$6 &gt; $AL$2,$AK$6 &lt; $AK$2)</t>
  </si>
  <si>
    <t>AND($AJ$6 = $AJ$2,$AK$6 = $AK$2)</t>
  </si>
  <si>
    <t>AND($AJ$6 = $AJ$2,$AK$6 &gt; $AK$2)</t>
  </si>
  <si>
    <t>AND($AJ$6 &gt; $AJ$2,$AK$6 &lt; $AL$2)</t>
  </si>
  <si>
    <t>AND($AJ$6 &gt; $AJ$2,$AJ$6 &lt; $AL$2,$AK$6 = $AL$2)</t>
  </si>
  <si>
    <t>AND($AJ$6 &gt; $AJ$2,$AJ$6 &lt; $AL$2,$AK$6 &gt; $AL$2,$AK$6 &lt; $AK$2,($AK$6 - $AJ$6) &lt;15)</t>
  </si>
  <si>
    <t>AND($AJ$6 &gt; $AJ$2,$AJ$6 &lt; $AL$2,$AK$6 &gt; $AL$2,$AK$6 &lt; $AK$2,($AK$6 - $AJ$6) &gt;=15)</t>
  </si>
  <si>
    <t>AND($AJ$6 &gt; $AJ$2,$AJ$6 &lt; $AL$2,$AK$6 = $AK$2)</t>
  </si>
  <si>
    <t>AND($AJ$6 &gt; $AJ$2,$AJ$6 &lt; $AL$2,$AK$6 &gt; $AK$2)</t>
  </si>
  <si>
    <t>AND($AJ$6 = $AL$2,$AK$6 &gt; $AL$2,$AK$6 &lt; $AK$2)</t>
  </si>
  <si>
    <t>AND($AJ$6 = $AL$2,$AK$6 = $AK$2)</t>
  </si>
  <si>
    <t>AND($AJ$6 = $AL$2,$AK$6 &gt; $AK$2)</t>
  </si>
  <si>
    <t>AND($AJ$6 &gt; $AL$2,$AK$6 &lt; $AK$2)</t>
  </si>
  <si>
    <t>AND($AJ$6 &gt; $AL$2,$AJ$6 &lt; $AK$2,$AK$6 = $AK$2)</t>
  </si>
  <si>
    <t>AND($AJ$6 &gt; $AL$2,$AJ$6 &lt; $AK$2,$AK$6 &gt; $AK$2)</t>
  </si>
  <si>
    <t>AND($AJ$6 = $AK$2,$AK$6 &gt; $AK$2)</t>
  </si>
  <si>
    <t>$AJ$6 &gt; $AK$2</t>
  </si>
  <si>
    <t>AND($AJ$6 &lt; $AJ$2,$AK$6 = "31/12/2100")</t>
  </si>
  <si>
    <t>AND($AJ$6 = $AJ$2,$AK$6 = "31/12/2100")</t>
  </si>
  <si>
    <t>AND($AJ$6 &gt; $AJ$2,$AJ$6 &lt; $AL$2,$AK$6 = "31/12/2100")</t>
  </si>
  <si>
    <t>AND($AJ$6 = $AL$2,$AK$6 = "31/12/2100")</t>
  </si>
  <si>
    <t>AND($AJ$6 &gt; $AL$2,$AJ$6 &lt; $AK$2,$AK$6 = "31/12/2100")</t>
  </si>
  <si>
    <t>AND($AJ$6 = $AK$2,$AK$6 = "31/12/2100")</t>
  </si>
  <si>
    <t>AND($AJ$6 &gt; $AK$2,$AK$6 = "31/12/2100")</t>
  </si>
  <si>
    <t>TextJoin 2 TH On và Off</t>
  </si>
  <si>
    <t>Tháng cuối năm ngoái</t>
  </si>
  <si>
    <t>Tháng làm BHXH</t>
  </si>
  <si>
    <t>Tháng hiện tại đang chọn</t>
  </si>
  <si>
    <t>Between S vs E</t>
  </si>
  <si>
    <t>CÔNG THỨC ĐỂ TÍNH CÓ ĐÓNG BHXH HAY KHÔNG</t>
  </si>
  <si>
    <t>CÔNG THỨC ĐỂ TÍNH CÓ ĐÓNG ĐANG LÀM VIỆC HAY KHÔNG</t>
  </si>
  <si>
    <t>Đã nghỉ việc</t>
  </si>
  <si>
    <t>Đang làm việc</t>
  </si>
  <si>
    <t>Chưa vào làm</t>
  </si>
  <si>
    <t>Không</t>
  </si>
  <si>
    <t>Phòng HCNS</t>
  </si>
  <si>
    <t>Phòng Kế toán</t>
  </si>
  <si>
    <t>Phòng Kinh doanh</t>
  </si>
  <si>
    <t>Trạng thái cả quá trình</t>
  </si>
  <si>
    <t>Số tiền ghi nhận trên C12</t>
  </si>
  <si>
    <t>Số phải nộp BHXH (là số tiền thực nộp hàng tháng)</t>
  </si>
  <si>
    <t>Chú thích chênh lệch</t>
  </si>
  <si>
    <t>Mức đóng * Trạng thái đóng BHXH (1: Có đóng, 0: Không đóng)</t>
  </si>
  <si>
    <t>Tháng bắt đầu đóng BHXH</t>
  </si>
  <si>
    <t>Ngày bắt đầu đóng BHXH</t>
  </si>
  <si>
    <t>Tháng cuối đóng BHXH</t>
  </si>
  <si>
    <t>Tháng bắt đầu và tháng kết thúc (Không tính theo Quá trình) (1: Có đóng, 0: Không đóng)</t>
  </si>
  <si>
    <t>Ngày cuối đóng BHXH</t>
  </si>
  <si>
    <t>Tháng bắt đầu QT</t>
  </si>
  <si>
    <t>Tháng đóng</t>
  </si>
  <si>
    <t>Tháng cuối cùng QT</t>
  </si>
  <si>
    <t>Chuyển đổi ký hiệu</t>
  </si>
  <si>
    <t>Tháng kết thúc QT</t>
  </si>
  <si>
    <t>NVXXX</t>
  </si>
  <si>
    <t>Nguyễn Thị B</t>
  </si>
  <si>
    <t>Có</t>
  </si>
  <si>
    <t>NLĐ đóng hết</t>
  </si>
  <si>
    <t>I. THEO DÕI QUÁ TRÌNH BHXH</t>
  </si>
  <si>
    <t>Tháng đóng BHXH
(Ngày 01 của tháng đóng)</t>
  </si>
  <si>
    <t>Số tiền thực đóng BHXH</t>
  </si>
  <si>
    <t>VII. DỰ TRÙ SỐ TIỀN ĐÓNG BHXH</t>
  </si>
  <si>
    <t>VIII. CHÊNH LỆCH</t>
  </si>
  <si>
    <t>Số tiền thực ghi nhận của cơ quan BHXH theo C12</t>
  </si>
  <si>
    <t>Giải thích lý do</t>
  </si>
  <si>
    <t>Đóng thừa nhân viên XYZ</t>
  </si>
  <si>
    <t>III. THEO DÕI SỐ TRỪ THẺ BHYT NGHỈ VIỆC</t>
  </si>
  <si>
    <t>Số tiền trừ thẻ BHYT nghỉ việc (để dấu +)</t>
  </si>
  <si>
    <t>Nguyễn Văn A</t>
  </si>
  <si>
    <t>Số tiền thừa, thiếu của kỳ trước (theo C12)
Thừa (để dấu -), Thiếu (để dấu +)</t>
  </si>
  <si>
    <t>Chênh lệch thực đóng so với C12</t>
  </si>
  <si>
    <t>Thai sản không lương</t>
  </si>
  <si>
    <t>Tháng bắt đầu thai sản, không lương</t>
  </si>
  <si>
    <t>Tháng cuối thai sản, không lương</t>
  </si>
  <si>
    <t>Nghỉ thai sản, không lương</t>
  </si>
  <si>
    <t>Tổng số nhân sự đang đóng BHXH</t>
  </si>
  <si>
    <t>Tổng số sổ BHXH đang quản lý</t>
  </si>
  <si>
    <t>HƯỚNG DẪN SỬ DỤNG</t>
  </si>
  <si>
    <t>Với người làm dữ liệu</t>
  </si>
  <si>
    <t>Với người xem dữ liệu</t>
  </si>
  <si>
    <r>
      <t xml:space="preserve">Bước 1: </t>
    </r>
    <r>
      <rPr>
        <sz val="14"/>
        <rFont val="Times New Roman"/>
        <family val="1"/>
      </rPr>
      <t>Thêm dữ liệu đóng BHXH vào sheet</t>
    </r>
    <r>
      <rPr>
        <b/>
        <sz val="14"/>
        <rFont val="Times New Roman"/>
        <family val="1"/>
      </rPr>
      <t xml:space="preserve"> "I.QTBH". </t>
    </r>
    <r>
      <rPr>
        <sz val="14"/>
        <rFont val="Times New Roman"/>
        <family val="1"/>
      </rPr>
      <t>Bao gồm các thông tin sau</t>
    </r>
    <r>
      <rPr>
        <b/>
        <sz val="14"/>
        <rFont val="Times New Roman"/>
        <family val="1"/>
      </rPr>
      <t>:</t>
    </r>
  </si>
  <si>
    <r>
      <t xml:space="preserve">Bước 2: </t>
    </r>
    <r>
      <rPr>
        <sz val="14"/>
        <rFont val="Times New Roman"/>
        <family val="1"/>
      </rPr>
      <t xml:space="preserve">Nhập thông tin theo dõi sổ BHXH, thẻ BHYT vào sheet </t>
    </r>
    <r>
      <rPr>
        <b/>
        <sz val="14"/>
        <rFont val="Times New Roman"/>
        <family val="1"/>
      </rPr>
      <t>"II.Theo dõi sổ thẻ"</t>
    </r>
  </si>
  <si>
    <r>
      <rPr>
        <b/>
        <sz val="14"/>
        <rFont val="Times New Roman"/>
        <family val="1"/>
      </rPr>
      <t>Bước 2:</t>
    </r>
    <r>
      <rPr>
        <sz val="14"/>
        <rFont val="Times New Roman"/>
        <family val="1"/>
      </rPr>
      <t xml:space="preserve"> Xem báo cáo cụ thể về BHXH tại </t>
    </r>
    <r>
      <rPr>
        <b/>
        <sz val="14"/>
        <rFont val="Times New Roman"/>
        <family val="1"/>
      </rPr>
      <t>"III.Report năm"</t>
    </r>
  </si>
  <si>
    <t>CT Tổng hợp (Copy paste Value TEXT)</t>
  </si>
  <si>
    <t>Trạng thái làm việc hiện tại</t>
  </si>
  <si>
    <t>Trạng thái làm việc theo thời gian chọn</t>
  </si>
  <si>
    <t>TRẠNG THÁI HIỆN LÊN BẢNG ĐANG LÀM LÀM VIỆC THEO THỜI GIAN CHỌN</t>
  </si>
  <si>
    <t>Thời gian nghỉ việc có giao cắt với tháng được chọn: Hiện lên bảng thông báo</t>
  </si>
  <si>
    <t>Thời gian nghỉ việc hoàn toàn bao trọn tháng được chọn: KHÔNG Hiện lên bảng thông báo</t>
  </si>
  <si>
    <t>Ngày bắt đầu nghỉ việc</t>
  </si>
  <si>
    <t>Số tiền đóng</t>
  </si>
  <si>
    <t>Bảo Hiểm Xã Hội                               ( 25.5% )</t>
  </si>
  <si>
    <t>Bảo Hiểm Y Tế                                   (   4.5% )</t>
  </si>
  <si>
    <t>Bảo Hiểm Thất Nghiệp                     (      2% )</t>
  </si>
  <si>
    <t>II. THEO SỐ TIỀN THỰC ĐÓNG BHXH</t>
  </si>
  <si>
    <t>IV. THEO DÕI SỐ TIỀN KỲ TRƯỚC MANG SANG</t>
  </si>
  <si>
    <t>Bán giảm muộn nhân viên Nguyễn Văn A</t>
  </si>
  <si>
    <t>BHXH12345678</t>
  </si>
  <si>
    <t>BHXH12345679</t>
  </si>
  <si>
    <t>BHXH12345680</t>
  </si>
  <si>
    <t>Nguyễn Văn B</t>
  </si>
  <si>
    <t>Nguyễn Văn C</t>
  </si>
  <si>
    <t>Gửi sổ BHXH qua đường bưu điện</t>
  </si>
  <si>
    <t>Tháng</t>
  </si>
  <si>
    <t>Số tiền</t>
  </si>
  <si>
    <t>SỐ TIỀN ĐÓNG BHXH QUA CÁC THÁNG</t>
  </si>
  <si>
    <t xml:space="preserve">               IV. THEO DÕI SỐ TIỀN KỲ TRƯỚC MANG SANG</t>
  </si>
  <si>
    <t>THIẾT LẬP TÙY CHỌN - CÓ THỂ ĐỊNH NGHĨA THÊM</t>
  </si>
  <si>
    <t xml:space="preserve">               I. THEO DÕI QUÁ TRÌNH BHXH (Phần này nhập các loại thu nhập có đóng BHXH theo quá trình (Từ ngày - đến ngày))</t>
  </si>
  <si>
    <t xml:space="preserve">               III. THEO DÕI SỐ TRỪ THẺ BHYT NGHỈ VIỆC (Phần này nhập vào số tiền trử thẻ BHYT khi báo giảm MUỘN, nếu báo giảm đúng thì số tiền đã được cộng trong phần tính BHXH của tháng)</t>
  </si>
  <si>
    <t xml:space="preserve">               II. THEO SỐ TIỀN THỰC ĐÓNG BHXH (Phần này nhập vào số tiền thực chuyển khoản cho cơ quan BHXH. Khi so sánh Số thực đóng với C12 của kỳ trước nếu có chênh lệch thì giải thích lý do</t>
  </si>
  <si>
    <t xml:space="preserve">               Đây là Sheet để theo dõi, quản lý tổng hợp về sổ BHXH và thẻ BHYT. Mục đích là nắm được tình trạng lưu của sổ/thẻ</t>
  </si>
  <si>
    <r>
      <t xml:space="preserve">Bước 1: </t>
    </r>
    <r>
      <rPr>
        <sz val="14"/>
        <rFont val="Times New Roman"/>
        <family val="1"/>
      </rPr>
      <t>Xem báo cáo tổng quan tại sheet</t>
    </r>
    <r>
      <rPr>
        <b/>
        <sz val="14"/>
        <rFont val="Times New Roman"/>
        <family val="1"/>
      </rPr>
      <t xml:space="preserve"> "IV.Dashboard"</t>
    </r>
  </si>
  <si>
    <t>Tổng số NS đang nghỉ TS, KL</t>
  </si>
  <si>
    <t>UPDATE VERSION 3</t>
  </si>
  <si>
    <t>VERSION 1</t>
  </si>
  <si>
    <t>UPDATE VERSION 2</t>
  </si>
  <si>
    <t>- Dự kiến Mức lương đóng BHXH từng tháng, của từng nhân viên</t>
  </si>
  <si>
    <t>- Có phần tính toán số tiền đóng BHXH dự kiến của cả công ty, người đóng hộ</t>
  </si>
  <si>
    <t>- Có phần theo dõi Sổ BHXH, thẻ BHYT</t>
  </si>
  <si>
    <t>- Thay đổi giao diện của File</t>
  </si>
  <si>
    <r>
      <t>- Bổ sung sheet "</t>
    </r>
    <r>
      <rPr>
        <b/>
        <sz val="14"/>
        <rFont val="Times New Roman"/>
        <family val="1"/>
      </rPr>
      <t>I.QTBH"</t>
    </r>
    <r>
      <rPr>
        <sz val="14"/>
        <rFont val="Times New Roman"/>
        <family val="1"/>
      </rPr>
      <t xml:space="preserve"> để tách biệt theo dõi theo quá trình, từ đó đưa sheet </t>
    </r>
    <r>
      <rPr>
        <b/>
        <sz val="14"/>
        <rFont val="Times New Roman"/>
        <family val="1"/>
      </rPr>
      <t>"III.Report năm"</t>
    </r>
    <r>
      <rPr>
        <sz val="14"/>
        <rFont val="Times New Roman"/>
        <family val="1"/>
      </rPr>
      <t xml:space="preserve"> có thể tự động hóa theo tùy chọn thời gian</t>
    </r>
  </si>
  <si>
    <r>
      <t xml:space="preserve">- Bổ sung sheet </t>
    </r>
    <r>
      <rPr>
        <b/>
        <sz val="14"/>
        <rFont val="Times New Roman"/>
        <family val="1"/>
      </rPr>
      <t>"IV.Dashboard"</t>
    </r>
    <r>
      <rPr>
        <sz val="14"/>
        <rFont val="Times New Roman"/>
        <family val="1"/>
      </rPr>
      <t xml:space="preserve"> để xem tổng quan các thông tin về số tiền đóng BHXH, sổ BHXH đang quản lý</t>
    </r>
  </si>
  <si>
    <r>
      <t>- Bổ sung sheet "</t>
    </r>
    <r>
      <rPr>
        <b/>
        <sz val="14"/>
        <rFont val="Times New Roman"/>
        <family val="1"/>
      </rPr>
      <t>HDSD"</t>
    </r>
    <r>
      <rPr>
        <sz val="14"/>
        <rFont val="Times New Roman"/>
        <family val="1"/>
      </rPr>
      <t xml:space="preserve"> để giúp người đọc xem file</t>
    </r>
  </si>
  <si>
    <t>- Sửa các lỗi nhỏ khác</t>
  </si>
  <si>
    <t>I. TỔNG QUAN VỀ BHXH - THEO THỜI GIAN BÁO CÁO</t>
  </si>
  <si>
    <t>II. TÌNH TRẠNG SỔ BHXH</t>
  </si>
  <si>
    <t xml:space="preserve">Chưa có </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</si>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</sst>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 _₫_-;\-* #,##0\ _₫_-;_-* &quot;-&quot;??\ _₫_-;_-@_-"/>
    <numFmt numFmtId="167" formatCode="mm/yyyy"/>
  </numFmts>
  <fonts count="43" x14ac:knownFonts="1">
    <font>
      <sz val="12"/>
      <name val="Times New Roman"/>
    </font>
    <font>
      <sz val="11"/>
      <color theme="1"/>
      <name val="Calibri"/>
      <family val="2"/>
      <charset val="163"/>
      <scheme val="minor"/>
    </font>
    <font>
      <sz val="12"/>
      <name val="Times New Roman"/>
      <family val="1"/>
    </font>
    <font>
      <b/>
      <sz val="10"/>
      <name val="Times New Roman"/>
      <family val="1"/>
    </font>
    <font>
      <sz val="9"/>
      <name val="Times New Roman"/>
      <family val="1"/>
    </font>
    <font>
      <sz val="10"/>
      <name val="Times New Roman"/>
      <family val="1"/>
    </font>
    <font>
      <b/>
      <sz val="12"/>
      <name val="Times New Roman"/>
      <family val="1"/>
    </font>
    <font>
      <sz val="12"/>
      <name val="Cambria"/>
      <family val="1"/>
      <charset val="163"/>
      <scheme val="major"/>
    </font>
    <font>
      <sz val="11"/>
      <name val="Times New Roman"/>
      <family val="1"/>
    </font>
    <font>
      <b/>
      <sz val="11"/>
      <name val="Times New Roman"/>
      <family val="1"/>
    </font>
    <font>
      <sz val="10"/>
      <color indexed="81"/>
      <name val="Times New Roman"/>
      <family val="1"/>
    </font>
    <font>
      <b/>
      <sz val="10"/>
      <color indexed="81"/>
      <name val="Times New Roman"/>
      <family val="1"/>
    </font>
    <font>
      <b/>
      <sz val="20"/>
      <name val="Times New Roman"/>
      <family val="1"/>
    </font>
    <font>
      <b/>
      <sz val="12"/>
      <color theme="0"/>
      <name val="Times New Roman"/>
      <family val="1"/>
    </font>
    <font>
      <sz val="14"/>
      <name val="Times New Roman"/>
      <family val="1"/>
    </font>
    <font>
      <sz val="14"/>
      <color rgb="FF000000"/>
      <name val="Times New Roman"/>
      <family val="1"/>
    </font>
    <font>
      <b/>
      <sz val="14"/>
      <color rgb="FF000000"/>
      <name val="Times New Roman"/>
      <family val="1"/>
    </font>
    <font>
      <sz val="8"/>
      <name val="Times New Roman"/>
      <family val="1"/>
    </font>
    <font>
      <sz val="14"/>
      <color rgb="FF222222"/>
      <name val="Times New Roman"/>
      <family val="1"/>
    </font>
    <font>
      <sz val="14"/>
      <color theme="0"/>
      <name val="Times New Roman"/>
      <family val="1"/>
    </font>
    <font>
      <sz val="14"/>
      <color rgb="FF333333"/>
      <name val="Times New Roman"/>
      <family val="1"/>
    </font>
    <font>
      <b/>
      <sz val="26"/>
      <color theme="1"/>
      <name val="Times New Roman"/>
      <family val="1"/>
    </font>
    <font>
      <sz val="11"/>
      <color theme="1"/>
      <name val="Times New Roman"/>
      <family val="1"/>
    </font>
    <font>
      <b/>
      <sz val="11"/>
      <color theme="1"/>
      <name val="Times New Roman"/>
      <family val="1"/>
    </font>
    <font>
      <b/>
      <sz val="36"/>
      <color theme="0"/>
      <name val="Times New Roman"/>
      <family val="1"/>
    </font>
    <font>
      <sz val="12"/>
      <color theme="1"/>
      <name val="Times New Roman"/>
      <family val="1"/>
    </font>
    <font>
      <b/>
      <sz val="10"/>
      <color theme="0"/>
      <name val="Times New Roman"/>
      <family val="1"/>
    </font>
    <font>
      <b/>
      <sz val="28"/>
      <color theme="0"/>
      <name val="Times New Roman"/>
      <family val="1"/>
    </font>
    <font>
      <b/>
      <sz val="14"/>
      <name val="Times New Roman"/>
      <family val="1"/>
    </font>
    <font>
      <b/>
      <sz val="14"/>
      <color theme="0"/>
      <name val="Times New Roman"/>
      <family val="1"/>
    </font>
    <font>
      <b/>
      <i/>
      <sz val="10"/>
      <color theme="0"/>
      <name val="Times New Roman"/>
      <family val="1"/>
    </font>
    <font>
      <b/>
      <i/>
      <sz val="14"/>
      <name val="Times New Roman"/>
      <family val="1"/>
    </font>
    <font>
      <b/>
      <sz val="18"/>
      <name val="Times New Roman"/>
      <family val="1"/>
    </font>
    <font>
      <b/>
      <sz val="18"/>
      <color theme="0"/>
      <name val="Times New Roman"/>
      <family val="1"/>
    </font>
    <font>
      <sz val="10"/>
      <color theme="0"/>
      <name val="Times New Roman"/>
      <family val="1"/>
    </font>
    <font>
      <b/>
      <sz val="10"/>
      <color theme="1"/>
      <name val="Times New Roman"/>
      <family val="1"/>
    </font>
    <font>
      <b/>
      <sz val="11"/>
      <color theme="1"/>
      <name val="Calibri"/>
      <family val="2"/>
      <scheme val="minor"/>
    </font>
    <font>
      <b/>
      <sz val="16"/>
      <name val="Times New Roman"/>
      <family val="1"/>
    </font>
    <font>
      <sz val="28"/>
      <name val="Times New Roman"/>
      <family val="1"/>
    </font>
    <font>
      <sz val="28"/>
      <name val="Wide Latin"/>
      <family val="1"/>
    </font>
    <font>
      <sz val="22"/>
      <name val="Wide Latin"/>
      <family val="1"/>
    </font>
    <font>
      <sz val="36"/>
      <name val="Verdana Pro Cond Black"/>
      <family val="2"/>
    </font>
    <font>
      <b/>
      <sz val="36"/>
      <name val="Times New Roman"/>
      <family val="1"/>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9"/>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style="thick">
        <color theme="3" tint="0.39994506668294322"/>
      </right>
      <top style="thick">
        <color theme="3" tint="0.39994506668294322"/>
      </top>
      <bottom style="thick">
        <color theme="3" tint="0.39991454817346722"/>
      </bottom>
      <diagonal/>
    </border>
    <border>
      <left style="thick">
        <color theme="3" tint="0.39994506668294322"/>
      </left>
      <right style="thick">
        <color theme="3" tint="0.39994506668294322"/>
      </right>
      <top style="thick">
        <color theme="3" tint="0.39991454817346722"/>
      </top>
      <bottom style="thick">
        <color theme="3" tint="0.39994506668294322"/>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top/>
      <bottom style="thick">
        <color theme="4"/>
      </bottom>
      <diagonal/>
    </border>
    <border>
      <left style="thick">
        <color theme="3" tint="0.39991454817346722"/>
      </left>
      <right/>
      <top style="thick">
        <color theme="3" tint="0.39991454817346722"/>
      </top>
      <bottom/>
      <diagonal/>
    </border>
    <border>
      <left/>
      <right/>
      <top style="thick">
        <color theme="3" tint="0.39991454817346722"/>
      </top>
      <bottom/>
      <diagonal/>
    </border>
    <border>
      <left/>
      <right style="thick">
        <color theme="3" tint="0.39991454817346722"/>
      </right>
      <top style="thick">
        <color theme="3" tint="0.39991454817346722"/>
      </top>
      <bottom/>
      <diagonal/>
    </border>
    <border>
      <left style="thick">
        <color theme="3" tint="0.39991454817346722"/>
      </left>
      <right/>
      <top/>
      <bottom/>
      <diagonal/>
    </border>
    <border>
      <left/>
      <right style="thick">
        <color theme="3" tint="0.39991454817346722"/>
      </right>
      <top/>
      <bottom/>
      <diagonal/>
    </border>
    <border>
      <left style="thick">
        <color theme="3" tint="0.39991454817346722"/>
      </left>
      <right/>
      <top/>
      <bottom style="thick">
        <color theme="3" tint="0.39991454817346722"/>
      </bottom>
      <diagonal/>
    </border>
    <border>
      <left/>
      <right/>
      <top/>
      <bottom style="thick">
        <color theme="3" tint="0.39991454817346722"/>
      </bottom>
      <diagonal/>
    </border>
    <border>
      <left/>
      <right style="thick">
        <color theme="3" tint="0.39991454817346722"/>
      </right>
      <top/>
      <bottom style="thick">
        <color theme="3" tint="0.39991454817346722"/>
      </bottom>
      <diagonal/>
    </border>
    <border>
      <left style="medium">
        <color theme="3" tint="0.399914548173467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ck">
        <color theme="3" tint="0.39994506668294322"/>
      </right>
      <top style="medium">
        <color theme="3" tint="0.39991454817346722"/>
      </top>
      <bottom style="medium">
        <color theme="3" tint="0.39991454817346722"/>
      </bottom>
      <diagonal/>
    </border>
    <border>
      <left style="thick">
        <color theme="3" tint="0.39994506668294322"/>
      </left>
      <right style="medium">
        <color theme="3" tint="0.39991454817346722"/>
      </right>
      <top style="medium">
        <color theme="3" tint="0.39991454817346722"/>
      </top>
      <bottom style="medium">
        <color theme="3" tint="0.39991454817346722"/>
      </bottom>
      <diagonal/>
    </border>
    <border>
      <left style="medium">
        <color theme="3" tint="0.39985351115451523"/>
      </left>
      <right/>
      <top style="medium">
        <color theme="3" tint="0.39985351115451523"/>
      </top>
      <bottom/>
      <diagonal/>
    </border>
    <border>
      <left/>
      <right/>
      <top style="medium">
        <color theme="3" tint="0.39985351115451523"/>
      </top>
      <bottom/>
      <diagonal/>
    </border>
    <border>
      <left/>
      <right style="medium">
        <color theme="3" tint="0.39985351115451523"/>
      </right>
      <top style="medium">
        <color theme="3" tint="0.39985351115451523"/>
      </top>
      <bottom/>
      <diagonal/>
    </border>
    <border>
      <left style="medium">
        <color theme="3" tint="0.39985351115451523"/>
      </left>
      <right/>
      <top/>
      <bottom/>
      <diagonal/>
    </border>
    <border>
      <left/>
      <right style="medium">
        <color theme="3" tint="0.39985351115451523"/>
      </right>
      <top/>
      <bottom/>
      <diagonal/>
    </border>
    <border>
      <left style="medium">
        <color theme="3" tint="0.39985351115451523"/>
      </left>
      <right/>
      <top/>
      <bottom style="medium">
        <color theme="3" tint="0.39985351115451523"/>
      </bottom>
      <diagonal/>
    </border>
    <border>
      <left/>
      <right/>
      <top/>
      <bottom style="medium">
        <color theme="3" tint="0.39985351115451523"/>
      </bottom>
      <diagonal/>
    </border>
    <border>
      <left/>
      <right style="medium">
        <color theme="3" tint="0.39985351115451523"/>
      </right>
      <top/>
      <bottom style="medium">
        <color theme="3" tint="0.39985351115451523"/>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top style="medium">
        <color theme="4"/>
      </top>
      <bottom style="thick">
        <color theme="3" tint="0.39994506668294322"/>
      </bottom>
      <diagonal/>
    </border>
    <border>
      <left/>
      <right style="medium">
        <color theme="4"/>
      </right>
      <top style="medium">
        <color theme="4"/>
      </top>
      <bottom style="thick">
        <color theme="3" tint="0.39994506668294322"/>
      </bottom>
      <diagonal/>
    </border>
    <border>
      <left style="medium">
        <color theme="4"/>
      </left>
      <right/>
      <top style="thick">
        <color theme="3" tint="0.39994506668294322"/>
      </top>
      <bottom/>
      <diagonal/>
    </border>
    <border>
      <left/>
      <right style="medium">
        <color theme="4"/>
      </right>
      <top style="thick">
        <color theme="3" tint="0.39994506668294322"/>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3" tint="0.39994506668294322"/>
      </left>
      <right style="thick">
        <color theme="3" tint="0.39994506668294322"/>
      </right>
      <top/>
      <bottom/>
      <diagonal/>
    </border>
  </borders>
  <cellStyleXfs count="3">
    <xf numFmtId="0" fontId="0" fillId="0" borderId="0"/>
    <xf numFmtId="43" fontId="2" fillId="0" borderId="0" applyFont="0" applyFill="0" applyBorder="0" applyAlignment="0" applyProtection="0"/>
    <xf numFmtId="0" fontId="1" fillId="0" borderId="0"/>
  </cellStyleXfs>
  <cellXfs count="350">
    <xf numFmtId="0" fontId="0" fillId="0" borderId="0" xfId="0"/>
    <xf numFmtId="0" fontId="4" fillId="0" borderId="0" xfId="0" applyFont="1" applyAlignment="1">
      <alignment horizontal="center" vertical="center"/>
    </xf>
    <xf numFmtId="165" fontId="4" fillId="0" borderId="0" xfId="1" applyNumberFormat="1" applyFont="1" applyAlignment="1">
      <alignment horizontal="center" vertical="center"/>
    </xf>
    <xf numFmtId="0" fontId="5" fillId="0" borderId="0" xfId="0" applyFont="1" applyAlignment="1">
      <alignment horizontal="center" vertical="center"/>
    </xf>
    <xf numFmtId="165" fontId="5" fillId="0" borderId="0" xfId="1" applyNumberFormat="1" applyFont="1" applyAlignment="1">
      <alignment horizontal="center" vertical="center"/>
    </xf>
    <xf numFmtId="0" fontId="5" fillId="0" borderId="0" xfId="0" applyFont="1" applyAlignment="1">
      <alignment horizontal="left" vertical="center"/>
    </xf>
    <xf numFmtId="165" fontId="4" fillId="0" borderId="0" xfId="0" applyNumberFormat="1" applyFont="1" applyAlignment="1">
      <alignment horizontal="center" vertical="center"/>
    </xf>
    <xf numFmtId="165" fontId="5" fillId="0" borderId="1" xfId="1" applyNumberFormat="1" applyFont="1" applyBorder="1" applyAlignment="1">
      <alignment horizontal="center" vertical="center"/>
    </xf>
    <xf numFmtId="14" fontId="4" fillId="0" borderId="0" xfId="0" applyNumberFormat="1" applyFont="1" applyAlignment="1">
      <alignment horizontal="center" vertical="center"/>
    </xf>
    <xf numFmtId="14" fontId="5" fillId="0" borderId="1" xfId="1" applyNumberFormat="1" applyFont="1" applyBorder="1" applyAlignment="1">
      <alignment horizontal="center" vertical="center"/>
    </xf>
    <xf numFmtId="0" fontId="4" fillId="0" borderId="0" xfId="0" applyFont="1" applyAlignment="1">
      <alignment horizontal="left" vertical="center"/>
    </xf>
    <xf numFmtId="165" fontId="4" fillId="0" borderId="0" xfId="0" applyNumberFormat="1" applyFont="1" applyAlignment="1">
      <alignment horizontal="left" vertical="center"/>
    </xf>
    <xf numFmtId="0" fontId="7" fillId="0" borderId="1" xfId="0" quotePrefix="1" applyFont="1" applyBorder="1" applyAlignment="1">
      <alignment horizontal="center" vertical="center"/>
    </xf>
    <xf numFmtId="0" fontId="7" fillId="0" borderId="1" xfId="0" applyFont="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0" borderId="1" xfId="0" applyFont="1" applyBorder="1" applyAlignment="1">
      <alignment horizontal="center" vertical="center"/>
    </xf>
    <xf numFmtId="0" fontId="6" fillId="0" borderId="0" xfId="0" applyFont="1" applyAlignment="1">
      <alignment horizontal="center"/>
    </xf>
    <xf numFmtId="165" fontId="3" fillId="0" borderId="0" xfId="1" applyNumberFormat="1" applyFont="1" applyAlignment="1">
      <alignment horizontal="center" vertical="center"/>
    </xf>
    <xf numFmtId="165" fontId="5" fillId="0" borderId="1" xfId="1" applyNumberFormat="1" applyFont="1" applyFill="1" applyBorder="1" applyAlignment="1">
      <alignment horizontal="center" vertical="center"/>
    </xf>
    <xf numFmtId="14" fontId="5" fillId="0" borderId="1" xfId="1" applyNumberFormat="1" applyFont="1" applyFill="1" applyBorder="1" applyAlignment="1">
      <alignment horizontal="center" vertical="center"/>
    </xf>
    <xf numFmtId="165" fontId="5" fillId="0" borderId="0" xfId="1" applyNumberFormat="1"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165" fontId="8" fillId="0" borderId="0" xfId="1" applyNumberFormat="1" applyFont="1" applyAlignment="1">
      <alignment horizontal="center" vertical="center"/>
    </xf>
    <xf numFmtId="0" fontId="0" fillId="0" borderId="0" xfId="0" applyAlignment="1">
      <alignment vertical="center"/>
    </xf>
    <xf numFmtId="165" fontId="5" fillId="5" borderId="1" xfId="1" applyNumberFormat="1" applyFont="1" applyFill="1" applyBorder="1" applyAlignment="1">
      <alignment horizontal="center" vertical="center"/>
    </xf>
    <xf numFmtId="14" fontId="5" fillId="5" borderId="1" xfId="1" applyNumberFormat="1" applyFont="1" applyFill="1" applyBorder="1" applyAlignment="1">
      <alignment horizontal="center" vertical="center"/>
    </xf>
    <xf numFmtId="0" fontId="4" fillId="0" borderId="0" xfId="0" applyFont="1" applyAlignment="1">
      <alignment horizontal="center" vertical="center" wrapText="1"/>
    </xf>
    <xf numFmtId="165" fontId="5" fillId="0" borderId="1" xfId="1" applyNumberFormat="1" applyFont="1" applyFill="1" applyBorder="1" applyAlignment="1">
      <alignment horizontal="center" vertical="center" wrapText="1"/>
    </xf>
    <xf numFmtId="0" fontId="8" fillId="0" borderId="0" xfId="0" applyFont="1" applyAlignment="1">
      <alignment horizontal="center" vertical="center" wrapText="1"/>
    </xf>
    <xf numFmtId="165" fontId="5" fillId="6" borderId="1" xfId="1" applyNumberFormat="1" applyFont="1" applyFill="1" applyBorder="1" applyAlignment="1">
      <alignment horizontal="center" vertical="center"/>
    </xf>
    <xf numFmtId="38" fontId="5" fillId="0" borderId="1" xfId="0" applyNumberFormat="1" applyFont="1" applyFill="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Fill="1" applyBorder="1" applyAlignment="1">
      <alignment horizontal="left" vertical="center"/>
    </xf>
    <xf numFmtId="38" fontId="5" fillId="0" borderId="1" xfId="0" applyNumberFormat="1" applyFont="1" applyFill="1" applyBorder="1" applyAlignment="1">
      <alignment horizontal="left" vertical="center"/>
    </xf>
    <xf numFmtId="0" fontId="5" fillId="2" borderId="1" xfId="0" applyFont="1" applyFill="1" applyBorder="1" applyAlignment="1">
      <alignment horizontal="center" vertical="center"/>
    </xf>
    <xf numFmtId="38" fontId="5" fillId="5" borderId="1" xfId="0" applyNumberFormat="1" applyFont="1" applyFill="1" applyBorder="1" applyAlignment="1">
      <alignment horizontal="center" vertical="center"/>
    </xf>
    <xf numFmtId="0" fontId="2" fillId="0" borderId="0" xfId="0" applyFont="1"/>
    <xf numFmtId="38" fontId="5" fillId="6" borderId="1" xfId="0" applyNumberFormat="1" applyFont="1" applyFill="1" applyBorder="1" applyAlignment="1">
      <alignment horizontal="center" vertical="center"/>
    </xf>
    <xf numFmtId="14" fontId="5" fillId="6" borderId="1" xfId="1" applyNumberFormat="1" applyFont="1" applyFill="1" applyBorder="1" applyAlignment="1">
      <alignment horizontal="center" vertical="center"/>
    </xf>
    <xf numFmtId="38" fontId="5" fillId="3" borderId="1" xfId="0" applyNumberFormat="1" applyFont="1" applyFill="1" applyBorder="1" applyAlignment="1">
      <alignment horizontal="center" vertical="center" wrapText="1"/>
    </xf>
    <xf numFmtId="0" fontId="12" fillId="0" borderId="0" xfId="0" applyFont="1" applyAlignment="1">
      <alignment vertical="center"/>
    </xf>
    <xf numFmtId="0" fontId="13" fillId="8" borderId="0" xfId="0" applyFont="1" applyFill="1" applyAlignment="1">
      <alignment horizontal="center" vertical="center"/>
    </xf>
    <xf numFmtId="0" fontId="6" fillId="0" borderId="0" xfId="0" applyFont="1" applyAlignment="1">
      <alignment horizontal="center" vertical="center"/>
    </xf>
    <xf numFmtId="0" fontId="0" fillId="0" borderId="0" xfId="0" applyFont="1" applyAlignment="1">
      <alignment vertical="center"/>
    </xf>
    <xf numFmtId="14" fontId="0" fillId="0" borderId="0" xfId="0" applyNumberFormat="1" applyFont="1" applyAlignment="1">
      <alignmen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2" fillId="0" borderId="1" xfId="0" applyFont="1" applyBorder="1" applyAlignment="1">
      <alignment vertical="center"/>
    </xf>
    <xf numFmtId="0" fontId="6" fillId="4" borderId="0" xfId="0" applyFont="1" applyFill="1" applyAlignment="1">
      <alignment horizontal="center" vertical="center"/>
    </xf>
    <xf numFmtId="0" fontId="6" fillId="9" borderId="0" xfId="0" applyFont="1" applyFill="1" applyAlignment="1">
      <alignment horizontal="center" vertical="center"/>
    </xf>
    <xf numFmtId="0" fontId="6" fillId="0" borderId="0" xfId="0" applyFont="1"/>
    <xf numFmtId="0" fontId="15" fillId="0" borderId="1" xfId="0"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5" fillId="8" borderId="1"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4" fillId="0" borderId="0" xfId="0" applyFont="1"/>
    <xf numFmtId="165" fontId="18" fillId="11" borderId="1" xfId="1"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165" fontId="20" fillId="11" borderId="1" xfId="1" applyNumberFormat="1" applyFont="1" applyFill="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xf>
    <xf numFmtId="14" fontId="22" fillId="0" borderId="0" xfId="0" applyNumberFormat="1" applyFont="1" applyAlignment="1">
      <alignment vertical="center"/>
    </xf>
    <xf numFmtId="14" fontId="22" fillId="0" borderId="0" xfId="0" applyNumberFormat="1" applyFont="1" applyAlignment="1">
      <alignment vertical="center" wrapText="1"/>
    </xf>
    <xf numFmtId="14" fontId="22" fillId="0" borderId="0" xfId="0" applyNumberFormat="1" applyFont="1" applyAlignment="1">
      <alignment horizontal="center" vertical="center"/>
    </xf>
    <xf numFmtId="14" fontId="23" fillId="0" borderId="0" xfId="0" applyNumberFormat="1" applyFont="1" applyAlignment="1">
      <alignment vertical="center"/>
    </xf>
    <xf numFmtId="14" fontId="22" fillId="0" borderId="0" xfId="0" applyNumberFormat="1" applyFont="1" applyAlignment="1">
      <alignment horizontal="center" vertical="center" wrapText="1"/>
    </xf>
    <xf numFmtId="166" fontId="22" fillId="0" borderId="0" xfId="1" applyNumberFormat="1" applyFont="1" applyAlignment="1">
      <alignment horizontal="center" vertical="center"/>
    </xf>
    <xf numFmtId="0" fontId="22" fillId="0" borderId="0" xfId="0" applyFont="1" applyAlignment="1">
      <alignment vertical="center" wrapText="1"/>
    </xf>
    <xf numFmtId="166" fontId="22" fillId="0" borderId="0" xfId="1" applyNumberFormat="1" applyFont="1" applyAlignment="1">
      <alignment vertical="center"/>
    </xf>
    <xf numFmtId="0" fontId="22" fillId="8" borderId="0" xfId="0" applyFont="1" applyFill="1" applyAlignment="1">
      <alignment horizontal="center" vertical="center"/>
    </xf>
    <xf numFmtId="0" fontId="22" fillId="4" borderId="0" xfId="0" applyFont="1" applyFill="1" applyAlignment="1">
      <alignment horizontal="center" vertical="center"/>
    </xf>
    <xf numFmtId="0" fontId="22" fillId="9" borderId="0" xfId="0" applyFont="1" applyFill="1" applyAlignment="1">
      <alignment horizontal="center" vertical="center"/>
    </xf>
    <xf numFmtId="0" fontId="23" fillId="6" borderId="1" xfId="0" applyFont="1" applyFill="1" applyBorder="1" applyAlignment="1">
      <alignment horizontal="center" vertical="center" wrapText="1"/>
    </xf>
    <xf numFmtId="14" fontId="23" fillId="6" borderId="1" xfId="0" applyNumberFormat="1" applyFont="1" applyFill="1" applyBorder="1" applyAlignment="1">
      <alignment horizontal="center" vertical="center" wrapText="1"/>
    </xf>
    <xf numFmtId="166" fontId="23" fillId="6" borderId="1" xfId="1"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166" fontId="22" fillId="0" borderId="1" xfId="1" applyNumberFormat="1" applyFont="1" applyBorder="1" applyAlignment="1">
      <alignment vertical="center"/>
    </xf>
    <xf numFmtId="0" fontId="2" fillId="0" borderId="11" xfId="0" applyFont="1" applyBorder="1"/>
    <xf numFmtId="0" fontId="2" fillId="0" borderId="0" xfId="0" applyFont="1" applyBorder="1"/>
    <xf numFmtId="0" fontId="2" fillId="0" borderId="12" xfId="0" applyFont="1" applyBorder="1"/>
    <xf numFmtId="0" fontId="12" fillId="0" borderId="0" xfId="0" applyFont="1" applyBorder="1"/>
    <xf numFmtId="164" fontId="16" fillId="0" borderId="12" xfId="0" applyNumberFormat="1" applyFont="1" applyFill="1" applyBorder="1" applyAlignment="1">
      <alignment horizontal="center" vertical="center" wrapText="1"/>
    </xf>
    <xf numFmtId="0" fontId="14" fillId="0" borderId="11" xfId="0" applyFont="1" applyBorder="1"/>
    <xf numFmtId="0" fontId="14" fillId="0" borderId="0" xfId="0" applyFont="1" applyBorder="1"/>
    <xf numFmtId="0" fontId="14"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0" xfId="0" applyFont="1" applyAlignment="1">
      <alignment wrapText="1"/>
    </xf>
    <xf numFmtId="0" fontId="2" fillId="0" borderId="0" xfId="0" applyFont="1" applyAlignment="1">
      <alignment vertical="center" wrapText="1"/>
    </xf>
    <xf numFmtId="0" fontId="6" fillId="0" borderId="1" xfId="0" applyFont="1" applyBorder="1" applyAlignment="1">
      <alignment horizontal="center" vertical="center" wrapText="1"/>
    </xf>
    <xf numFmtId="0" fontId="2" fillId="9"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wrapText="1"/>
    </xf>
    <xf numFmtId="0" fontId="6" fillId="12" borderId="1" xfId="0" applyFont="1" applyFill="1" applyBorder="1" applyAlignment="1">
      <alignment vertical="center" wrapText="1"/>
    </xf>
    <xf numFmtId="0" fontId="2" fillId="12" borderId="0" xfId="0" applyFont="1" applyFill="1" applyAlignment="1">
      <alignment horizontal="center" vertical="center" wrapText="1"/>
    </xf>
    <xf numFmtId="0" fontId="6" fillId="12" borderId="1" xfId="0" applyFont="1" applyFill="1" applyBorder="1" applyAlignment="1">
      <alignment horizontal="center" vertical="center" wrapText="1"/>
    </xf>
    <xf numFmtId="14" fontId="2" fillId="0" borderId="0" xfId="0" applyNumberFormat="1" applyFont="1" applyFill="1" applyAlignment="1">
      <alignment vertical="center" wrapText="1"/>
    </xf>
    <xf numFmtId="14" fontId="25" fillId="0" borderId="0" xfId="0" applyNumberFormat="1" applyFont="1" applyAlignment="1">
      <alignment vertical="center"/>
    </xf>
    <xf numFmtId="14" fontId="0" fillId="0" borderId="0" xfId="0" applyNumberFormat="1" applyFill="1" applyAlignment="1">
      <alignment vertical="center"/>
    </xf>
    <xf numFmtId="0" fontId="23" fillId="12" borderId="1" xfId="0" applyFont="1" applyFill="1" applyBorder="1" applyAlignment="1">
      <alignment horizontal="center" vertical="center" wrapText="1"/>
    </xf>
    <xf numFmtId="0" fontId="2" fillId="12" borderId="1" xfId="0" applyFont="1" applyFill="1" applyBorder="1" applyAlignment="1">
      <alignment vertical="center" wrapText="1"/>
    </xf>
    <xf numFmtId="14" fontId="2" fillId="9" borderId="0" xfId="0" applyNumberFormat="1" applyFont="1" applyFill="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0" xfId="0" applyNumberFormat="1" applyFont="1" applyAlignment="1">
      <alignment horizontal="center" vertical="center"/>
    </xf>
    <xf numFmtId="14" fontId="2" fillId="9" borderId="0" xfId="0" applyNumberFormat="1" applyFont="1" applyFill="1" applyAlignment="1">
      <alignment horizontal="center" vertical="center"/>
    </xf>
    <xf numFmtId="0" fontId="2" fillId="4" borderId="0" xfId="0" applyFont="1" applyFill="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2" fillId="9" borderId="1" xfId="0" applyFont="1" applyFill="1" applyBorder="1" applyAlignment="1">
      <alignment horizontal="center"/>
    </xf>
    <xf numFmtId="0" fontId="2" fillId="0" borderId="1" xfId="0" applyFont="1" applyBorder="1" applyAlignment="1">
      <alignment horizontal="center"/>
    </xf>
    <xf numFmtId="0" fontId="23" fillId="0" borderId="1" xfId="0" applyFont="1" applyBorder="1" applyAlignment="1">
      <alignment horizontal="center" vertical="center" wrapText="1"/>
    </xf>
    <xf numFmtId="0" fontId="6" fillId="0" borderId="0" xfId="0" applyFont="1" applyAlignment="1">
      <alignment horizontal="center" vertical="center" wrapText="1"/>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43" fontId="5" fillId="0" borderId="1" xfId="1" applyFont="1" applyFill="1" applyBorder="1" applyAlignment="1" applyProtection="1">
      <alignment horizontal="center" vertical="center"/>
    </xf>
    <xf numFmtId="0" fontId="8" fillId="0" borderId="0" xfId="0" applyFont="1" applyAlignment="1">
      <alignment vertical="center"/>
    </xf>
    <xf numFmtId="166" fontId="2" fillId="0" borderId="0" xfId="1" applyNumberFormat="1" applyFont="1" applyAlignment="1">
      <alignment vertical="center"/>
    </xf>
    <xf numFmtId="166" fontId="2" fillId="0" borderId="0" xfId="1" applyNumberFormat="1" applyFont="1" applyAlignment="1">
      <alignment horizontal="left" vertical="center"/>
    </xf>
    <xf numFmtId="0" fontId="2" fillId="0" borderId="0" xfId="0" applyFont="1" applyAlignment="1">
      <alignment horizontal="left" vertical="center"/>
    </xf>
    <xf numFmtId="0" fontId="3" fillId="0" borderId="1" xfId="0" applyFont="1" applyFill="1" applyBorder="1" applyAlignment="1">
      <alignment horizontal="left" vertical="center"/>
    </xf>
    <xf numFmtId="0" fontId="5" fillId="0" borderId="1" xfId="0" applyFont="1" applyFill="1" applyBorder="1" applyAlignment="1">
      <alignment horizontal="center" vertical="center"/>
    </xf>
    <xf numFmtId="165" fontId="26" fillId="10" borderId="1" xfId="1" applyNumberFormat="1" applyFont="1" applyFill="1" applyBorder="1" applyAlignment="1">
      <alignment horizontal="center" vertical="center"/>
    </xf>
    <xf numFmtId="14" fontId="26" fillId="10" borderId="1" xfId="1" applyNumberFormat="1" applyFont="1" applyFill="1" applyBorder="1" applyAlignment="1">
      <alignment horizontal="center" vertical="center"/>
    </xf>
    <xf numFmtId="165" fontId="26" fillId="10" borderId="1" xfId="1" applyNumberFormat="1" applyFont="1" applyFill="1" applyBorder="1" applyAlignment="1">
      <alignment horizontal="center" vertical="center" wrapText="1"/>
    </xf>
    <xf numFmtId="165" fontId="22" fillId="0" borderId="1" xfId="1" applyNumberFormat="1" applyFont="1" applyBorder="1" applyAlignment="1">
      <alignment horizontal="center" vertical="center" wrapText="1"/>
    </xf>
    <xf numFmtId="14" fontId="22" fillId="0" borderId="1" xfId="1" applyNumberFormat="1" applyFont="1" applyBorder="1" applyAlignment="1">
      <alignment vertical="center"/>
    </xf>
    <xf numFmtId="14" fontId="22" fillId="0" borderId="1" xfId="1" applyNumberFormat="1" applyFont="1" applyBorder="1" applyAlignment="1">
      <alignment horizontal="center" vertical="center"/>
    </xf>
    <xf numFmtId="167" fontId="23" fillId="6" borderId="1" xfId="0" applyNumberFormat="1" applyFont="1" applyFill="1" applyBorder="1" applyAlignment="1">
      <alignment horizontal="center" vertical="center" wrapText="1"/>
    </xf>
    <xf numFmtId="167" fontId="22" fillId="0" borderId="1" xfId="1" applyNumberFormat="1" applyFont="1" applyBorder="1" applyAlignment="1">
      <alignment horizontal="center" vertical="center"/>
    </xf>
    <xf numFmtId="167" fontId="23" fillId="1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wrapText="1"/>
    </xf>
    <xf numFmtId="167" fontId="23" fillId="14" borderId="1" xfId="0" applyNumberFormat="1" applyFont="1" applyFill="1" applyBorder="1" applyAlignment="1">
      <alignment horizontal="center" vertical="center" wrapText="1"/>
    </xf>
    <xf numFmtId="0" fontId="21" fillId="14" borderId="0" xfId="0" applyFont="1" applyFill="1" applyAlignment="1">
      <alignment vertical="center"/>
    </xf>
    <xf numFmtId="0" fontId="0" fillId="14" borderId="0" xfId="0" applyFill="1" applyAlignment="1">
      <alignment vertical="center"/>
    </xf>
    <xf numFmtId="14" fontId="25" fillId="14" borderId="0" xfId="0" applyNumberFormat="1" applyFont="1" applyFill="1" applyAlignment="1">
      <alignment vertical="center"/>
    </xf>
    <xf numFmtId="0" fontId="0" fillId="14" borderId="0" xfId="0" applyFill="1" applyAlignment="1">
      <alignment horizontal="center" vertical="center" wrapText="1"/>
    </xf>
    <xf numFmtId="14" fontId="0" fillId="0" borderId="0" xfId="0" applyNumberFormat="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xf>
    <xf numFmtId="14" fontId="8" fillId="0" borderId="1" xfId="0" applyNumberFormat="1" applyFont="1" applyBorder="1" applyAlignment="1">
      <alignment horizontal="center" vertical="center"/>
    </xf>
    <xf numFmtId="165" fontId="8" fillId="0" borderId="1" xfId="1" applyNumberFormat="1" applyFont="1" applyBorder="1" applyAlignment="1">
      <alignment horizontal="center" vertical="center"/>
    </xf>
    <xf numFmtId="165" fontId="3" fillId="2" borderId="1" xfId="1" applyNumberFormat="1" applyFont="1" applyFill="1" applyBorder="1" applyAlignment="1">
      <alignment horizontal="center" vertical="center"/>
    </xf>
    <xf numFmtId="1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4" fillId="0" borderId="11"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8" fillId="0" borderId="12" xfId="0" applyFont="1" applyBorder="1" applyAlignment="1">
      <alignment horizontal="center" vertical="center"/>
    </xf>
    <xf numFmtId="0" fontId="4" fillId="0" borderId="11"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4" fillId="0" borderId="0" xfId="1" applyNumberFormat="1" applyFont="1" applyBorder="1" applyAlignment="1">
      <alignment horizontal="center" vertical="center"/>
    </xf>
    <xf numFmtId="165" fontId="4" fillId="0" borderId="11" xfId="1" applyNumberFormat="1" applyFont="1" applyBorder="1" applyAlignment="1">
      <alignment horizontal="center" vertical="center"/>
    </xf>
    <xf numFmtId="165" fontId="5" fillId="0" borderId="0" xfId="1" applyNumberFormat="1" applyFont="1" applyBorder="1" applyAlignment="1">
      <alignment horizontal="center" vertical="center"/>
    </xf>
    <xf numFmtId="165" fontId="5" fillId="0" borderId="0" xfId="1" applyNumberFormat="1" applyFont="1" applyBorder="1" applyAlignment="1">
      <alignment horizontal="left" vertical="center"/>
    </xf>
    <xf numFmtId="14" fontId="4" fillId="0" borderId="0" xfId="1" applyNumberFormat="1" applyFont="1" applyBorder="1" applyAlignment="1">
      <alignment horizontal="center" vertical="center"/>
    </xf>
    <xf numFmtId="165" fontId="4" fillId="0" borderId="0" xfId="1" applyNumberFormat="1" applyFont="1" applyBorder="1" applyAlignment="1">
      <alignment horizontal="center" vertical="center" wrapText="1"/>
    </xf>
    <xf numFmtId="165" fontId="4" fillId="0" borderId="12" xfId="1" applyNumberFormat="1" applyFont="1" applyBorder="1" applyAlignment="1">
      <alignment horizontal="center" vertical="center"/>
    </xf>
    <xf numFmtId="165" fontId="5" fillId="0" borderId="11" xfId="1" applyNumberFormat="1" applyFont="1" applyBorder="1" applyAlignment="1">
      <alignment horizontal="center" vertical="center"/>
    </xf>
    <xf numFmtId="165" fontId="5" fillId="0" borderId="12" xfId="1" applyNumberFormat="1" applyFont="1" applyBorder="1" applyAlignment="1">
      <alignment horizontal="center" vertical="center"/>
    </xf>
    <xf numFmtId="165" fontId="5" fillId="0" borderId="12" xfId="1" applyNumberFormat="1" applyFont="1" applyBorder="1" applyAlignment="1">
      <alignment horizontal="left" vertical="center"/>
    </xf>
    <xf numFmtId="165" fontId="5" fillId="0" borderId="12" xfId="1" applyNumberFormat="1" applyFont="1" applyBorder="1" applyAlignment="1">
      <alignment horizontal="left" vertical="center" wrapText="1"/>
    </xf>
    <xf numFmtId="165" fontId="5" fillId="0" borderId="11" xfId="1" applyNumberFormat="1" applyFont="1" applyFill="1" applyBorder="1" applyAlignment="1">
      <alignment horizontal="center" vertical="center"/>
    </xf>
    <xf numFmtId="165" fontId="5" fillId="0" borderId="12" xfId="1" applyNumberFormat="1" applyFont="1" applyFill="1" applyBorder="1" applyAlignment="1">
      <alignment horizontal="center" vertical="center"/>
    </xf>
    <xf numFmtId="165" fontId="3" fillId="0" borderId="11" xfId="1" applyNumberFormat="1" applyFont="1" applyBorder="1" applyAlignment="1">
      <alignment horizontal="center" vertical="center"/>
    </xf>
    <xf numFmtId="165" fontId="3" fillId="0" borderId="12" xfId="1"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vertical="center"/>
    </xf>
    <xf numFmtId="165" fontId="4" fillId="0" borderId="14" xfId="0" applyNumberFormat="1" applyFont="1" applyBorder="1" applyAlignment="1">
      <alignment horizontal="center" vertical="center"/>
    </xf>
    <xf numFmtId="14" fontId="4" fillId="0" borderId="14"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2" fillId="0" borderId="0" xfId="0" applyFont="1" applyBorder="1" applyAlignment="1">
      <alignment horizontal="left" vertical="center"/>
    </xf>
    <xf numFmtId="0" fontId="29" fillId="10" borderId="16" xfId="0" applyFont="1" applyFill="1" applyBorder="1" applyAlignment="1">
      <alignment horizontal="center" vertical="center"/>
    </xf>
    <xf numFmtId="0" fontId="14" fillId="9" borderId="17" xfId="0" applyFont="1" applyFill="1" applyBorder="1" applyAlignment="1">
      <alignment horizontal="center" vertical="center"/>
    </xf>
    <xf numFmtId="49" fontId="26" fillId="15" borderId="1" xfId="1" applyNumberFormat="1" applyFont="1" applyFill="1" applyBorder="1" applyAlignment="1">
      <alignment horizontal="center" vertical="center"/>
    </xf>
    <xf numFmtId="167" fontId="30" fillId="15" borderId="1" xfId="1" applyNumberFormat="1" applyFont="1" applyFill="1" applyBorder="1" applyAlignment="1">
      <alignment horizontal="center" vertical="center"/>
    </xf>
    <xf numFmtId="14" fontId="26" fillId="15" borderId="1" xfId="1" applyNumberFormat="1" applyFont="1" applyFill="1" applyBorder="1" applyAlignment="1">
      <alignment horizontal="center" vertical="center"/>
    </xf>
    <xf numFmtId="165" fontId="26" fillId="15" borderId="1" xfId="1" applyNumberFormat="1" applyFont="1" applyFill="1" applyBorder="1" applyAlignment="1">
      <alignment horizontal="center" vertical="center" wrapText="1"/>
    </xf>
    <xf numFmtId="0" fontId="2" fillId="14" borderId="0" xfId="0" applyFont="1" applyFill="1" applyAlignment="1">
      <alignment horizontal="center" vertical="center" wrapText="1"/>
    </xf>
    <xf numFmtId="165" fontId="5" fillId="0" borderId="4" xfId="1" applyNumberFormat="1" applyFont="1" applyFill="1" applyBorder="1" applyAlignment="1">
      <alignment horizontal="center" vertical="center"/>
    </xf>
    <xf numFmtId="0" fontId="0" fillId="0" borderId="11" xfId="0" applyBorder="1"/>
    <xf numFmtId="0" fontId="0" fillId="0" borderId="0" xfId="0" applyBorder="1"/>
    <xf numFmtId="0" fontId="0" fillId="0" borderId="12" xfId="0" applyBorder="1"/>
    <xf numFmtId="0" fontId="0" fillId="0" borderId="0" xfId="0" applyBorder="1" applyAlignment="1">
      <alignment vertical="center"/>
    </xf>
    <xf numFmtId="0" fontId="0" fillId="0" borderId="13" xfId="0" applyBorder="1"/>
    <xf numFmtId="0" fontId="0" fillId="0" borderId="14" xfId="0" applyBorder="1" applyAlignment="1">
      <alignment vertical="center"/>
    </xf>
    <xf numFmtId="0" fontId="0" fillId="0" borderId="14" xfId="0" applyBorder="1"/>
    <xf numFmtId="0" fontId="0" fillId="0" borderId="15" xfId="0" applyBorder="1"/>
    <xf numFmtId="0" fontId="14" fillId="0" borderId="23" xfId="0" applyFont="1" applyBorder="1"/>
    <xf numFmtId="0" fontId="14" fillId="0" borderId="24" xfId="0" applyFont="1" applyBorder="1"/>
    <xf numFmtId="0" fontId="29" fillId="16" borderId="0" xfId="0" applyFont="1" applyFill="1" applyBorder="1"/>
    <xf numFmtId="0" fontId="19" fillId="16" borderId="0" xfId="0" applyFont="1" applyFill="1" applyBorder="1"/>
    <xf numFmtId="0" fontId="28" fillId="0" borderId="0" xfId="0" applyFont="1" applyBorder="1"/>
    <xf numFmtId="0" fontId="14" fillId="0" borderId="25" xfId="0" applyFont="1" applyBorder="1"/>
    <xf numFmtId="0" fontId="14" fillId="0" borderId="26" xfId="0" applyFont="1" applyBorder="1"/>
    <xf numFmtId="0" fontId="14" fillId="0" borderId="27" xfId="0" applyFont="1" applyBorder="1"/>
    <xf numFmtId="0" fontId="6" fillId="0" borderId="0" xfId="0" applyFont="1" applyBorder="1" applyAlignment="1">
      <alignment horizontal="center" vertical="center"/>
    </xf>
    <xf numFmtId="0" fontId="34" fillId="0" borderId="0" xfId="0" applyFont="1" applyAlignment="1">
      <alignment vertical="center"/>
    </xf>
    <xf numFmtId="0" fontId="5" fillId="0" borderId="0" xfId="0" applyFont="1" applyAlignment="1">
      <alignment vertical="center"/>
    </xf>
    <xf numFmtId="166" fontId="23" fillId="12" borderId="1" xfId="1" applyNumberFormat="1" applyFont="1" applyFill="1" applyBorder="1" applyAlignment="1">
      <alignment horizontal="center" vertical="center" wrapText="1"/>
    </xf>
    <xf numFmtId="166" fontId="23" fillId="17" borderId="1" xfId="1" applyNumberFormat="1" applyFont="1" applyFill="1" applyBorder="1" applyAlignment="1">
      <alignment horizontal="center" vertical="center" wrapText="1"/>
    </xf>
    <xf numFmtId="0" fontId="34" fillId="0" borderId="0" xfId="0" applyFont="1" applyAlignment="1">
      <alignment vertical="center" wrapText="1"/>
    </xf>
    <xf numFmtId="0" fontId="36" fillId="0" borderId="1" xfId="0" applyFont="1" applyBorder="1" applyAlignment="1">
      <alignment horizontal="center"/>
    </xf>
    <xf numFmtId="0" fontId="0" fillId="9" borderId="1" xfId="0"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7" fillId="0" borderId="0" xfId="0" applyFont="1" applyAlignment="1">
      <alignment vertical="center"/>
    </xf>
    <xf numFmtId="165" fontId="3" fillId="0" borderId="1" xfId="1" applyNumberFormat="1" applyFont="1" applyBorder="1" applyAlignment="1">
      <alignment horizontal="center" vertical="center" wrapText="1"/>
    </xf>
    <xf numFmtId="165" fontId="3" fillId="6" borderId="1" xfId="1" applyNumberFormat="1" applyFont="1" applyFill="1" applyBorder="1" applyAlignment="1">
      <alignment horizontal="center" vertical="center" wrapText="1"/>
    </xf>
    <xf numFmtId="165" fontId="3" fillId="5" borderId="1" xfId="1" applyNumberFormat="1" applyFont="1" applyFill="1" applyBorder="1" applyAlignment="1">
      <alignment horizontal="center" vertical="center" wrapText="1"/>
    </xf>
    <xf numFmtId="165" fontId="5" fillId="4" borderId="1" xfId="1" applyNumberFormat="1" applyFont="1" applyFill="1" applyBorder="1" applyAlignment="1">
      <alignment horizontal="center" vertical="center"/>
    </xf>
    <xf numFmtId="165" fontId="3" fillId="4" borderId="1" xfId="1"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38" fillId="0" borderId="11" xfId="0" applyFont="1" applyBorder="1"/>
    <xf numFmtId="0" fontId="38" fillId="0" borderId="12" xfId="0" applyFont="1" applyBorder="1"/>
    <xf numFmtId="0" fontId="38" fillId="0" borderId="0" xfId="0" applyFont="1"/>
    <xf numFmtId="0" fontId="22" fillId="0" borderId="0" xfId="0" applyNumberFormat="1" applyFont="1" applyAlignment="1">
      <alignment vertical="center" wrapText="1"/>
    </xf>
    <xf numFmtId="167" fontId="2" fillId="0" borderId="1" xfId="0" applyNumberFormat="1" applyFont="1" applyBorder="1"/>
    <xf numFmtId="0" fontId="6" fillId="0" borderId="1" xfId="0" applyFont="1" applyBorder="1"/>
    <xf numFmtId="165" fontId="2" fillId="0" borderId="1" xfId="1" applyNumberFormat="1" applyFont="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23" fillId="0" borderId="0" xfId="0" applyFont="1" applyAlignment="1">
      <alignment horizontal="right" vertical="center"/>
    </xf>
    <xf numFmtId="0" fontId="6" fillId="0" borderId="0" xfId="0" applyFont="1" applyAlignment="1">
      <alignment horizontal="right" vertical="center"/>
    </xf>
    <xf numFmtId="0" fontId="40" fillId="0" borderId="40" xfId="0" applyFont="1" applyBorder="1" applyAlignment="1">
      <alignment horizontal="center" vertical="center" wrapText="1"/>
    </xf>
    <xf numFmtId="0" fontId="14" fillId="0" borderId="0" xfId="0" quotePrefix="1" applyFont="1" applyBorder="1"/>
    <xf numFmtId="0" fontId="14" fillId="0" borderId="0" xfId="0" quotePrefix="1" applyFont="1" applyFill="1" applyBorder="1"/>
    <xf numFmtId="0" fontId="24" fillId="10" borderId="8" xfId="0" applyFont="1" applyFill="1" applyBorder="1" applyAlignment="1">
      <alignment horizontal="left"/>
    </xf>
    <xf numFmtId="0" fontId="24" fillId="10" borderId="9" xfId="0" applyFont="1" applyFill="1" applyBorder="1" applyAlignment="1">
      <alignment horizontal="left"/>
    </xf>
    <xf numFmtId="0" fontId="24" fillId="10" borderId="10" xfId="0" applyFont="1" applyFill="1" applyBorder="1" applyAlignment="1">
      <alignment horizontal="left"/>
    </xf>
    <xf numFmtId="0" fontId="14" fillId="0" borderId="1" xfId="0" applyFont="1" applyFill="1" applyBorder="1" applyAlignment="1">
      <alignment horizontal="center" vertical="center"/>
    </xf>
    <xf numFmtId="0" fontId="24" fillId="4" borderId="20" xfId="0" applyFont="1" applyFill="1" applyBorder="1" applyAlignment="1">
      <alignment horizontal="left"/>
    </xf>
    <xf numFmtId="0" fontId="24" fillId="4" borderId="21" xfId="0" applyFont="1" applyFill="1" applyBorder="1" applyAlignment="1">
      <alignment horizontal="left"/>
    </xf>
    <xf numFmtId="0" fontId="24" fillId="4" borderId="22" xfId="0" applyFont="1" applyFill="1" applyBorder="1" applyAlignment="1">
      <alignment horizontal="left"/>
    </xf>
    <xf numFmtId="0" fontId="19" fillId="10" borderId="1"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2" fillId="0" borderId="59"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28" xfId="0" applyBorder="1" applyAlignment="1">
      <alignment horizontal="center" vertical="center"/>
    </xf>
    <xf numFmtId="0" fontId="0" fillId="0" borderId="65" xfId="0" applyBorder="1" applyAlignment="1">
      <alignment horizontal="center" vertical="center"/>
    </xf>
    <xf numFmtId="0" fontId="13" fillId="10" borderId="41"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3" fillId="10" borderId="43" xfId="0" applyFont="1" applyFill="1" applyBorder="1" applyAlignment="1">
      <alignment horizontal="center" vertical="center" wrapText="1"/>
    </xf>
    <xf numFmtId="165" fontId="41" fillId="0" borderId="44" xfId="1" applyNumberFormat="1" applyFont="1" applyBorder="1" applyAlignment="1">
      <alignment horizontal="center" vertical="center" wrapText="1"/>
    </xf>
    <xf numFmtId="165" fontId="41" fillId="0" borderId="0" xfId="1" applyNumberFormat="1" applyFont="1" applyBorder="1" applyAlignment="1">
      <alignment horizontal="center" vertical="center" wrapText="1"/>
    </xf>
    <xf numFmtId="165" fontId="41" fillId="0" borderId="45" xfId="1" applyNumberFormat="1" applyFont="1" applyBorder="1" applyAlignment="1">
      <alignment horizontal="center" vertical="center" wrapText="1"/>
    </xf>
    <xf numFmtId="165" fontId="41" fillId="0" borderId="46" xfId="1" applyNumberFormat="1" applyFont="1" applyBorder="1" applyAlignment="1">
      <alignment horizontal="center" vertical="center" wrapText="1"/>
    </xf>
    <xf numFmtId="165" fontId="41" fillId="0" borderId="47" xfId="1" applyNumberFormat="1" applyFont="1" applyBorder="1" applyAlignment="1">
      <alignment horizontal="center" vertical="center" wrapText="1"/>
    </xf>
    <xf numFmtId="165" fontId="41" fillId="0" borderId="48" xfId="1" applyNumberFormat="1" applyFont="1" applyBorder="1" applyAlignment="1">
      <alignment horizontal="center" vertical="center" wrapText="1"/>
    </xf>
    <xf numFmtId="0" fontId="13" fillId="10" borderId="37" xfId="0" applyFont="1" applyFill="1" applyBorder="1" applyAlignment="1">
      <alignment horizontal="left" vertical="center" wrapText="1"/>
    </xf>
    <xf numFmtId="0" fontId="13" fillId="10" borderId="38" xfId="0" applyFont="1" applyFill="1" applyBorder="1" applyAlignment="1">
      <alignment horizontal="left" vertical="center" wrapText="1"/>
    </xf>
    <xf numFmtId="0" fontId="13" fillId="10" borderId="39" xfId="0" applyFont="1" applyFill="1" applyBorder="1" applyAlignment="1">
      <alignment horizontal="left" vertical="center" wrapText="1"/>
    </xf>
    <xf numFmtId="0" fontId="13" fillId="10" borderId="49"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13" fillId="10" borderId="55" xfId="0" applyFont="1" applyFill="1" applyBorder="1" applyAlignment="1">
      <alignment horizontal="center" vertical="center" wrapText="1"/>
    </xf>
    <xf numFmtId="0" fontId="13" fillId="10" borderId="56" xfId="0" applyFont="1" applyFill="1" applyBorder="1" applyAlignment="1">
      <alignment horizontal="center" vertical="center" wrapText="1"/>
    </xf>
    <xf numFmtId="0" fontId="33" fillId="10" borderId="8" xfId="0" applyFont="1" applyFill="1" applyBorder="1" applyAlignment="1">
      <alignment horizontal="left"/>
    </xf>
    <xf numFmtId="0" fontId="33" fillId="10" borderId="9" xfId="0" applyFont="1" applyFill="1" applyBorder="1" applyAlignment="1">
      <alignment horizontal="left"/>
    </xf>
    <xf numFmtId="0" fontId="33" fillId="10" borderId="10" xfId="0" applyFont="1" applyFill="1" applyBorder="1" applyAlignment="1">
      <alignment horizontal="left"/>
    </xf>
    <xf numFmtId="0" fontId="33" fillId="10" borderId="29" xfId="0" applyFont="1" applyFill="1" applyBorder="1" applyAlignment="1">
      <alignment horizontal="left"/>
    </xf>
    <xf numFmtId="0" fontId="33" fillId="10" borderId="30" xfId="0" applyFont="1" applyFill="1" applyBorder="1" applyAlignment="1">
      <alignment horizontal="left"/>
    </xf>
    <xf numFmtId="0" fontId="33" fillId="10" borderId="31" xfId="0" applyFont="1" applyFill="1" applyBorder="1" applyAlignment="1">
      <alignment horizontal="left"/>
    </xf>
    <xf numFmtId="0" fontId="6" fillId="0" borderId="0" xfId="0" applyFont="1" applyBorder="1" applyAlignment="1">
      <alignment horizontal="center" vertical="center"/>
    </xf>
    <xf numFmtId="0" fontId="32" fillId="0" borderId="0" xfId="0" applyFont="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1" fillId="7" borderId="3" xfId="0" applyFont="1" applyFill="1" applyBorder="1" applyAlignment="1">
      <alignment horizontal="left" vertical="center"/>
    </xf>
    <xf numFmtId="0" fontId="31" fillId="7" borderId="4" xfId="0" applyFont="1" applyFill="1" applyBorder="1" applyAlignment="1">
      <alignment horizontal="left" vertical="center"/>
    </xf>
    <xf numFmtId="0" fontId="31" fillId="7" borderId="5"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42" fillId="0" borderId="66" xfId="0" quotePrefix="1" applyFont="1" applyBorder="1" applyAlignment="1">
      <alignment horizontal="center" vertical="center"/>
    </xf>
    <xf numFmtId="0" fontId="42" fillId="0" borderId="66" xfId="0" applyFont="1" applyBorder="1" applyAlignment="1">
      <alignment horizontal="center" vertical="center"/>
    </xf>
    <xf numFmtId="165" fontId="3" fillId="2" borderId="3" xfId="1" applyNumberFormat="1" applyFont="1" applyFill="1" applyBorder="1" applyAlignment="1">
      <alignment horizontal="left" vertical="center"/>
    </xf>
    <xf numFmtId="165" fontId="3" fillId="2" borderId="4" xfId="1" applyNumberFormat="1" applyFont="1" applyFill="1" applyBorder="1" applyAlignment="1">
      <alignment horizontal="left" vertical="center"/>
    </xf>
    <xf numFmtId="165" fontId="3" fillId="2" borderId="5" xfId="1" applyNumberFormat="1" applyFont="1" applyFill="1" applyBorder="1" applyAlignment="1">
      <alignment horizontal="left" vertical="center"/>
    </xf>
    <xf numFmtId="0" fontId="27" fillId="10" borderId="8" xfId="0" applyFont="1" applyFill="1" applyBorder="1" applyAlignment="1">
      <alignment horizontal="left" vertical="center"/>
    </xf>
    <xf numFmtId="0" fontId="27" fillId="10" borderId="9" xfId="0" applyFont="1" applyFill="1" applyBorder="1" applyAlignment="1">
      <alignment horizontal="left" vertical="center"/>
    </xf>
    <xf numFmtId="0" fontId="27" fillId="10" borderId="10" xfId="0" applyFont="1" applyFill="1" applyBorder="1" applyAlignment="1">
      <alignment horizontal="left" vertical="center"/>
    </xf>
    <xf numFmtId="165" fontId="26" fillId="10" borderId="3" xfId="1" applyNumberFormat="1" applyFont="1" applyFill="1" applyBorder="1" applyAlignment="1">
      <alignment horizontal="left" vertical="center"/>
    </xf>
    <xf numFmtId="165" fontId="26" fillId="10" borderId="4" xfId="1" applyNumberFormat="1" applyFont="1" applyFill="1" applyBorder="1" applyAlignment="1">
      <alignment horizontal="left" vertical="center"/>
    </xf>
    <xf numFmtId="165" fontId="26" fillId="10" borderId="5" xfId="1" applyNumberFormat="1"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29" fillId="10" borderId="18" xfId="0" applyFont="1" applyFill="1" applyBorder="1" applyAlignment="1">
      <alignment horizontal="center" vertical="center"/>
    </xf>
    <xf numFmtId="0" fontId="29" fillId="10" borderId="19" xfId="0" applyFont="1" applyFill="1" applyBorder="1" applyAlignment="1">
      <alignment horizontal="center" vertical="center"/>
    </xf>
    <xf numFmtId="167" fontId="14" fillId="9" borderId="18" xfId="0" applyNumberFormat="1" applyFont="1" applyFill="1" applyBorder="1" applyAlignment="1">
      <alignment horizontal="center" vertical="center"/>
    </xf>
    <xf numFmtId="167" fontId="14" fillId="9" borderId="19" xfId="0" applyNumberFormat="1" applyFont="1" applyFill="1" applyBorder="1" applyAlignment="1">
      <alignment horizontal="center" vertical="center"/>
    </xf>
    <xf numFmtId="0" fontId="22" fillId="0" borderId="0" xfId="0" applyFont="1" applyAlignment="1">
      <alignment horizontal="center" vertical="center"/>
    </xf>
    <xf numFmtId="0" fontId="35" fillId="6" borderId="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cellXfs>
  <cellStyles count="3">
    <cellStyle name="Comma" xfId="1" builtinId="3"/>
    <cellStyle name="Normal" xfId="0" builtinId="0"/>
    <cellStyle name="Normal 2" xfId="2" xr:uid="{00000000-0005-0000-0000-000002000000}"/>
  </cellStyles>
  <dxfs count="29">
    <dxf>
      <fill>
        <patternFill>
          <bgColor rgb="FFFF0000"/>
        </patternFill>
      </fill>
    </dxf>
    <dxf>
      <fill>
        <patternFill>
          <bgColor rgb="FF92D050"/>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b/>
        <i val="0"/>
      </font>
      <border>
        <left style="thin">
          <color rgb="FFFF0000"/>
        </left>
        <right style="thin">
          <color rgb="FFFF0000"/>
        </right>
        <top style="thin">
          <color rgb="FFFF0000"/>
        </top>
        <bottom style="thin">
          <color rgb="FFFF0000"/>
        </bottom>
        <vertical/>
        <horizontal/>
      </border>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
      <font>
        <color theme="0"/>
      </font>
      <fill>
        <patternFill>
          <bgColor theme="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SỐ</a:t>
            </a:r>
            <a:r>
              <a:rPr lang="en-US" baseline="0">
                <a:latin typeface="Times New Roman" panose="02020603050405020304" pitchFamily="18" charset="0"/>
                <a:cs typeface="Times New Roman" panose="02020603050405020304" pitchFamily="18" charset="0"/>
              </a:rPr>
              <a:t> TIỀN ĐÓNG BHXH QUA CÁC THÁNG</a:t>
            </a:r>
            <a:endParaRPr lang="en-US">
              <a:latin typeface="Times New Roman" panose="02020603050405020304" pitchFamily="18" charset="0"/>
              <a:cs typeface="Times New Roman" panose="02020603050405020304" pitchFamily="18" charset="0"/>
            </a:endParaRPr>
          </a:p>
        </c:rich>
      </c:tx>
      <c:layout>
        <c:manualLayout>
          <c:xMode val="edge"/>
          <c:yMode val="edge"/>
          <c:x val="3.1125948867823352E-2"/>
          <c:y val="5.04201680672268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80158166695537"/>
          <c:y val="0.26434668886901325"/>
          <c:w val="0.88068396652449277"/>
          <c:h val="0.59337059051931473"/>
        </c:manualLayout>
      </c:layout>
      <c:lineChart>
        <c:grouping val="standard"/>
        <c:varyColors val="0"/>
        <c:ser>
          <c:idx val="0"/>
          <c:order val="0"/>
          <c:tx>
            <c:strRef>
              <c:f>'DB''s Data'!$A$4</c:f>
              <c:strCache>
                <c:ptCount val="1"/>
                <c:pt idx="0">
                  <c:v>Số tiền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'DB''s Data'!$B$3:$M$3</c:f>
              <c:numCache>
                <c:formatCode>mm/yyyy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'DB''s Data'!$B$4:$M$4</c:f>
              <c:numCache>
                <c:formatCode>_-* #,##0_-;\-* #,##0_-;_-* "-"??_-;_-@_-</c:formatCode>
                <c:ptCount val="12"/>
                <c:pt idx="0">
                  <c:v>2240000</c:v>
                </c:pt>
                <c:pt idx="1">
                  <c:v>8842500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36DF-45B5-8CA6-03E80A0189B1}"/>
            </c:ext>
          </c:extLst>
        </c:ser>
        <c:dLbls>
          <c:showLegendKey val="0"/>
          <c:showVal val="0"/>
          <c:showCatName val="0"/>
          <c:showSerName val="0"/>
          <c:showPercent val="0"/>
          <c:showBubbleSize val="0"/>
        </c:dLbls>
        <c:marker val="1"/>
        <c:smooth val="0"/>
        <c:axId val="730725688"/>
        <c:axId val="730725360"/>
      </c:lineChart>
      <c:dateAx>
        <c:axId val="730725688"/>
        <c:scaling>
          <c:orientation val="minMax"/>
        </c:scaling>
        <c:delete val="0"/>
        <c:axPos val="b"/>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725360"/>
        <c:crosses val="autoZero"/>
        <c:auto val="1"/>
        <c:lblOffset val="100"/>
        <c:baseTimeUnit val="months"/>
      </c:dateAx>
      <c:valAx>
        <c:axId val="7307253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725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alpha val="4000"/>
      </a:schemeClr>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223631</xdr:colOff>
      <xdr:row>8</xdr:row>
      <xdr:rowOff>165652</xdr:rowOff>
    </xdr:from>
    <xdr:to>
      <xdr:col>13</xdr:col>
      <xdr:colOff>16566</xdr:colOff>
      <xdr:row>16</xdr:row>
      <xdr:rowOff>16565</xdr:rowOff>
    </xdr:to>
    <xdr:graphicFrame macro="">
      <xdr:nvGraphicFramePr>
        <xdr:cNvPr id="2" name="Chart 1">
          <a:extLst>
            <a:ext uri="{FF2B5EF4-FFF2-40B4-BE49-F238E27FC236}">
              <a16:creationId xmlns:a16="http://schemas.microsoft.com/office/drawing/2014/main" id="{BFE052CB-7897-428E-A1F6-8F0B11698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9590-71E1-443C-A936-E1B60CCDA3F9}">
  <sheetPr codeName="Sheet1">
    <tabColor rgb="FFFFFF00"/>
  </sheetPr>
  <dimension ref="B1:U86"/>
  <sheetViews>
    <sheetView showGridLines="0" tabSelected="1" zoomScale="80" zoomScaleNormal="80" workbookViewId="0">
      <selection activeCell="G76" sqref="G76"/>
    </sheetView>
  </sheetViews>
  <sheetFormatPr defaultColWidth="8.75" defaultRowHeight="15.75" x14ac:dyDescent="0.25"/>
  <cols>
    <col min="1" max="1" width="3.125" style="39" customWidth="1"/>
    <col min="2" max="2" width="3.625" style="39" customWidth="1"/>
    <col min="3" max="3" width="27.25" style="39" customWidth="1"/>
    <col min="4" max="4" width="16.625" style="39" customWidth="1"/>
    <col min="5" max="6" width="12.125" style="39" customWidth="1"/>
    <col min="7" max="7" width="11.25" style="39" customWidth="1"/>
    <col min="8" max="8" width="12.25" style="39" customWidth="1"/>
    <col min="9" max="9" width="13.25" style="39" customWidth="1"/>
    <col min="10" max="10" width="14.25" style="39" customWidth="1"/>
    <col min="11" max="11" width="15" style="39" customWidth="1"/>
    <col min="12" max="12" width="12.625" style="39" customWidth="1"/>
    <col min="13" max="13" width="15.75" style="39" customWidth="1"/>
    <col min="14" max="14" width="15" style="39" customWidth="1"/>
    <col min="15" max="16" width="7.5" style="39" customWidth="1"/>
    <col min="17" max="17" width="10.75" style="39" customWidth="1"/>
    <col min="18" max="18" width="2.875" style="39" customWidth="1"/>
    <col min="19" max="21" width="10.75" style="39" customWidth="1"/>
    <col min="22" max="22" width="14.25" style="39" bestFit="1" customWidth="1"/>
    <col min="23" max="16384" width="8.75" style="39"/>
  </cols>
  <sheetData>
    <row r="1" spans="2:18" ht="16.5" thickBot="1" x14ac:dyDescent="0.3"/>
    <row r="2" spans="2:18" ht="45.75" thickTop="1" x14ac:dyDescent="0.6">
      <c r="B2" s="257" t="s">
        <v>324</v>
      </c>
      <c r="C2" s="258"/>
      <c r="D2" s="258"/>
      <c r="E2" s="258"/>
      <c r="F2" s="258"/>
      <c r="G2" s="258"/>
      <c r="H2" s="258"/>
      <c r="I2" s="258"/>
      <c r="J2" s="258"/>
      <c r="K2" s="258"/>
      <c r="L2" s="258"/>
      <c r="M2" s="258"/>
      <c r="N2" s="258"/>
      <c r="O2" s="258"/>
      <c r="P2" s="258"/>
      <c r="Q2" s="258"/>
      <c r="R2" s="259"/>
    </row>
    <row r="3" spans="2:18" ht="10.5" customHeight="1" x14ac:dyDescent="0.25">
      <c r="B3" s="85"/>
      <c r="C3" s="86"/>
      <c r="D3" s="86"/>
      <c r="E3" s="86"/>
      <c r="F3" s="86"/>
      <c r="G3" s="86"/>
      <c r="H3" s="86"/>
      <c r="I3" s="86"/>
      <c r="J3" s="86"/>
      <c r="K3" s="86"/>
      <c r="L3" s="86"/>
      <c r="M3" s="86"/>
      <c r="N3" s="86"/>
      <c r="O3" s="86"/>
      <c r="P3" s="86"/>
      <c r="Q3" s="86"/>
      <c r="R3" s="87"/>
    </row>
    <row r="4" spans="2:18" ht="18.75" x14ac:dyDescent="0.3">
      <c r="B4" s="85"/>
      <c r="C4" s="255" t="s">
        <v>330</v>
      </c>
      <c r="D4" s="86"/>
      <c r="E4" s="86"/>
      <c r="F4" s="86"/>
      <c r="G4" s="86"/>
      <c r="H4" s="86"/>
      <c r="I4" s="86"/>
      <c r="J4" s="86"/>
      <c r="K4" s="86"/>
      <c r="L4" s="86"/>
      <c r="M4" s="86"/>
      <c r="N4" s="86"/>
      <c r="O4" s="86"/>
      <c r="P4" s="86"/>
      <c r="Q4" s="86"/>
      <c r="R4" s="87"/>
    </row>
    <row r="5" spans="2:18" ht="18.75" x14ac:dyDescent="0.3">
      <c r="B5" s="85"/>
      <c r="C5" s="255" t="s">
        <v>333</v>
      </c>
      <c r="D5" s="86"/>
      <c r="E5" s="86"/>
      <c r="F5" s="86"/>
      <c r="G5" s="86"/>
      <c r="H5" s="86"/>
      <c r="I5" s="86"/>
      <c r="J5" s="86"/>
      <c r="K5" s="86"/>
      <c r="L5" s="86"/>
      <c r="M5" s="86"/>
      <c r="N5" s="86"/>
      <c r="O5" s="86"/>
      <c r="P5" s="86"/>
      <c r="Q5" s="86"/>
      <c r="R5" s="87"/>
    </row>
    <row r="6" spans="2:18" ht="18.75" x14ac:dyDescent="0.3">
      <c r="B6" s="85"/>
      <c r="C6" s="255" t="s">
        <v>332</v>
      </c>
      <c r="D6" s="86"/>
      <c r="E6" s="86"/>
      <c r="F6" s="86"/>
      <c r="G6" s="86"/>
      <c r="H6" s="86"/>
      <c r="I6" s="86"/>
      <c r="J6" s="86"/>
      <c r="K6" s="86"/>
      <c r="L6" s="86"/>
      <c r="M6" s="86"/>
      <c r="N6" s="86"/>
      <c r="O6" s="86"/>
      <c r="P6" s="86"/>
      <c r="Q6" s="86"/>
      <c r="R6" s="87"/>
    </row>
    <row r="7" spans="2:18" ht="18.75" x14ac:dyDescent="0.3">
      <c r="B7" s="85"/>
      <c r="C7" s="255" t="s">
        <v>331</v>
      </c>
      <c r="D7" s="86"/>
      <c r="E7" s="86"/>
      <c r="F7" s="86"/>
      <c r="G7" s="86"/>
      <c r="H7" s="86"/>
      <c r="I7" s="86"/>
      <c r="J7" s="86"/>
      <c r="K7" s="86"/>
      <c r="L7" s="86"/>
      <c r="M7" s="86"/>
      <c r="N7" s="86"/>
      <c r="O7" s="86"/>
      <c r="P7" s="86"/>
      <c r="Q7" s="86"/>
      <c r="R7" s="87"/>
    </row>
    <row r="8" spans="2:18" ht="18.75" x14ac:dyDescent="0.3">
      <c r="B8" s="85"/>
      <c r="C8" s="256" t="s">
        <v>334</v>
      </c>
      <c r="D8" s="86"/>
      <c r="E8" s="86"/>
      <c r="F8" s="86"/>
      <c r="G8" s="86"/>
      <c r="H8" s="86"/>
      <c r="I8" s="86"/>
      <c r="J8" s="86"/>
      <c r="K8" s="86"/>
      <c r="L8" s="86"/>
      <c r="M8" s="86"/>
      <c r="N8" s="86"/>
      <c r="O8" s="86"/>
      <c r="P8" s="86"/>
      <c r="Q8" s="86"/>
      <c r="R8" s="87"/>
    </row>
    <row r="9" spans="2:18" ht="9.75" customHeight="1" thickBot="1" x14ac:dyDescent="0.3">
      <c r="B9" s="93"/>
      <c r="C9" s="94"/>
      <c r="D9" s="94"/>
      <c r="E9" s="94"/>
      <c r="F9" s="94"/>
      <c r="G9" s="94"/>
      <c r="H9" s="94"/>
      <c r="I9" s="94"/>
      <c r="J9" s="94"/>
      <c r="K9" s="94"/>
      <c r="L9" s="94"/>
      <c r="M9" s="94"/>
      <c r="N9" s="94"/>
      <c r="O9" s="94"/>
      <c r="P9" s="94"/>
      <c r="Q9" s="94"/>
      <c r="R9" s="95"/>
    </row>
    <row r="10" spans="2:18" ht="17.25" thickTop="1" thickBot="1" x14ac:dyDescent="0.3"/>
    <row r="11" spans="2:18" ht="45.75" thickTop="1" x14ac:dyDescent="0.6">
      <c r="B11" s="257" t="s">
        <v>326</v>
      </c>
      <c r="C11" s="258"/>
      <c r="D11" s="258"/>
      <c r="E11" s="258"/>
      <c r="F11" s="258"/>
      <c r="G11" s="258"/>
      <c r="H11" s="258"/>
      <c r="I11" s="258"/>
      <c r="J11" s="258"/>
      <c r="K11" s="258"/>
      <c r="L11" s="258"/>
      <c r="M11" s="258"/>
      <c r="N11" s="258"/>
      <c r="O11" s="258"/>
      <c r="P11" s="258"/>
      <c r="Q11" s="258"/>
      <c r="R11" s="259"/>
    </row>
    <row r="12" spans="2:18" ht="11.25" customHeight="1" x14ac:dyDescent="0.25">
      <c r="B12" s="85"/>
      <c r="C12" s="86"/>
      <c r="D12" s="86"/>
      <c r="E12" s="86"/>
      <c r="F12" s="86"/>
      <c r="G12" s="86"/>
      <c r="H12" s="86"/>
      <c r="I12" s="86"/>
      <c r="J12" s="86"/>
      <c r="K12" s="86"/>
      <c r="L12" s="86"/>
      <c r="M12" s="86"/>
      <c r="N12" s="86"/>
      <c r="O12" s="86"/>
      <c r="P12" s="86"/>
      <c r="Q12" s="86"/>
      <c r="R12" s="87"/>
    </row>
    <row r="13" spans="2:18" ht="18.75" x14ac:dyDescent="0.3">
      <c r="B13" s="85"/>
      <c r="C13" s="255" t="s">
        <v>330</v>
      </c>
      <c r="D13" s="86"/>
      <c r="E13" s="86"/>
      <c r="F13" s="86"/>
      <c r="G13" s="86"/>
      <c r="H13" s="86"/>
      <c r="I13" s="86"/>
      <c r="J13" s="86"/>
      <c r="K13" s="86"/>
      <c r="L13" s="86"/>
      <c r="M13" s="86"/>
      <c r="N13" s="86"/>
      <c r="O13" s="86"/>
      <c r="P13" s="86"/>
      <c r="Q13" s="86"/>
      <c r="R13" s="87"/>
    </row>
    <row r="14" spans="2:18" ht="9.75" customHeight="1" thickBot="1" x14ac:dyDescent="0.3">
      <c r="B14" s="93"/>
      <c r="C14" s="94"/>
      <c r="D14" s="94"/>
      <c r="E14" s="94"/>
      <c r="F14" s="94"/>
      <c r="G14" s="94"/>
      <c r="H14" s="94"/>
      <c r="I14" s="94"/>
      <c r="J14" s="94"/>
      <c r="K14" s="94"/>
      <c r="L14" s="94"/>
      <c r="M14" s="94"/>
      <c r="N14" s="94"/>
      <c r="O14" s="94"/>
      <c r="P14" s="94"/>
      <c r="Q14" s="94"/>
      <c r="R14" s="95"/>
    </row>
    <row r="15" spans="2:18" ht="17.25" thickTop="1" thickBot="1" x14ac:dyDescent="0.3"/>
    <row r="16" spans="2:18" ht="45.75" thickTop="1" x14ac:dyDescent="0.6">
      <c r="B16" s="257" t="s">
        <v>325</v>
      </c>
      <c r="C16" s="258"/>
      <c r="D16" s="258"/>
      <c r="E16" s="258"/>
      <c r="F16" s="258"/>
      <c r="G16" s="258"/>
      <c r="H16" s="258"/>
      <c r="I16" s="258"/>
      <c r="J16" s="258"/>
      <c r="K16" s="258"/>
      <c r="L16" s="258"/>
      <c r="M16" s="258"/>
      <c r="N16" s="258"/>
      <c r="O16" s="258"/>
      <c r="P16" s="258"/>
      <c r="Q16" s="258"/>
      <c r="R16" s="259"/>
    </row>
    <row r="17" spans="2:21" ht="7.5" customHeight="1" x14ac:dyDescent="0.25">
      <c r="B17" s="85"/>
      <c r="C17" s="86"/>
      <c r="D17" s="86"/>
      <c r="E17" s="86"/>
      <c r="F17" s="86"/>
      <c r="G17" s="86"/>
      <c r="H17" s="86"/>
      <c r="I17" s="86"/>
      <c r="J17" s="86"/>
      <c r="K17" s="86"/>
      <c r="L17" s="86"/>
      <c r="M17" s="86"/>
      <c r="N17" s="86"/>
      <c r="O17" s="86"/>
      <c r="P17" s="86"/>
      <c r="Q17" s="86"/>
      <c r="R17" s="87"/>
    </row>
    <row r="18" spans="2:21" ht="18.75" x14ac:dyDescent="0.3">
      <c r="B18" s="85"/>
      <c r="C18" s="255" t="s">
        <v>327</v>
      </c>
      <c r="D18" s="86"/>
      <c r="E18" s="86"/>
      <c r="F18" s="86"/>
      <c r="G18" s="86"/>
      <c r="H18" s="86"/>
      <c r="I18" s="86"/>
      <c r="J18" s="86"/>
      <c r="K18" s="86"/>
      <c r="L18" s="86"/>
      <c r="M18" s="86"/>
      <c r="N18" s="86"/>
      <c r="O18" s="86"/>
      <c r="P18" s="86"/>
      <c r="Q18" s="86"/>
      <c r="R18" s="87"/>
    </row>
    <row r="19" spans="2:21" ht="18.75" x14ac:dyDescent="0.3">
      <c r="B19" s="85"/>
      <c r="C19" s="255" t="s">
        <v>328</v>
      </c>
      <c r="D19" s="86"/>
      <c r="E19" s="86"/>
      <c r="F19" s="86"/>
      <c r="G19" s="86"/>
      <c r="H19" s="86"/>
      <c r="I19" s="86"/>
      <c r="J19" s="86"/>
      <c r="K19" s="86"/>
      <c r="L19" s="86"/>
      <c r="M19" s="86"/>
      <c r="N19" s="86"/>
      <c r="O19" s="86"/>
      <c r="P19" s="86"/>
      <c r="Q19" s="86"/>
      <c r="R19" s="87"/>
    </row>
    <row r="20" spans="2:21" ht="18.75" x14ac:dyDescent="0.3">
      <c r="B20" s="85"/>
      <c r="C20" s="255" t="s">
        <v>329</v>
      </c>
      <c r="D20" s="86"/>
      <c r="E20" s="86"/>
      <c r="F20" s="86"/>
      <c r="G20" s="86"/>
      <c r="H20" s="86"/>
      <c r="I20" s="86"/>
      <c r="J20" s="86"/>
      <c r="K20" s="86"/>
      <c r="L20" s="86"/>
      <c r="M20" s="86"/>
      <c r="N20" s="86"/>
      <c r="O20" s="86"/>
      <c r="P20" s="86"/>
      <c r="Q20" s="86"/>
      <c r="R20" s="87"/>
    </row>
    <row r="21" spans="2:21" ht="8.25" customHeight="1" thickBot="1" x14ac:dyDescent="0.3">
      <c r="B21" s="93"/>
      <c r="C21" s="94"/>
      <c r="D21" s="94"/>
      <c r="E21" s="94"/>
      <c r="F21" s="94"/>
      <c r="G21" s="94"/>
      <c r="H21" s="94"/>
      <c r="I21" s="94"/>
      <c r="J21" s="94"/>
      <c r="K21" s="94"/>
      <c r="L21" s="94"/>
      <c r="M21" s="94"/>
      <c r="N21" s="94"/>
      <c r="O21" s="94"/>
      <c r="P21" s="94"/>
      <c r="Q21" s="94"/>
      <c r="R21" s="95"/>
    </row>
    <row r="22" spans="2:21" ht="16.5" thickTop="1" x14ac:dyDescent="0.25"/>
    <row r="23" spans="2:21" ht="16.5" thickBot="1" x14ac:dyDescent="0.3"/>
    <row r="24" spans="2:21" ht="45.75" thickTop="1" x14ac:dyDescent="0.6">
      <c r="B24" s="257" t="s">
        <v>130</v>
      </c>
      <c r="C24" s="258"/>
      <c r="D24" s="258"/>
      <c r="E24" s="258"/>
      <c r="F24" s="258"/>
      <c r="G24" s="258"/>
      <c r="H24" s="258"/>
      <c r="I24" s="258"/>
      <c r="J24" s="258"/>
      <c r="K24" s="258"/>
      <c r="L24" s="258"/>
      <c r="M24" s="258"/>
      <c r="N24" s="258"/>
      <c r="O24" s="258"/>
      <c r="P24" s="258"/>
      <c r="Q24" s="258"/>
      <c r="R24" s="259"/>
    </row>
    <row r="25" spans="2:21" ht="11.25" customHeight="1" x14ac:dyDescent="0.25">
      <c r="B25" s="85"/>
      <c r="C25" s="86"/>
      <c r="D25" s="86"/>
      <c r="E25" s="86"/>
      <c r="F25" s="86"/>
      <c r="G25" s="86"/>
      <c r="H25" s="86"/>
      <c r="I25" s="86"/>
      <c r="J25" s="86"/>
      <c r="K25" s="86"/>
      <c r="L25" s="86"/>
      <c r="M25" s="86"/>
      <c r="N25" s="86"/>
      <c r="O25" s="86"/>
      <c r="P25" s="86"/>
      <c r="Q25" s="86"/>
      <c r="R25" s="87"/>
    </row>
    <row r="26" spans="2:21" ht="25.5" x14ac:dyDescent="0.35">
      <c r="B26" s="85"/>
      <c r="C26" s="88" t="s">
        <v>55</v>
      </c>
      <c r="D26" s="86"/>
      <c r="E26" s="86"/>
      <c r="F26" s="86"/>
      <c r="G26" s="86"/>
      <c r="H26" s="86"/>
      <c r="I26" s="86"/>
      <c r="J26" s="86"/>
      <c r="K26" s="86"/>
      <c r="L26" s="86"/>
      <c r="M26" s="86"/>
      <c r="N26" s="86"/>
      <c r="O26" s="86"/>
      <c r="P26" s="86"/>
      <c r="Q26" s="86"/>
      <c r="R26" s="87"/>
    </row>
    <row r="27" spans="2:21" ht="7.5" customHeight="1" x14ac:dyDescent="0.25">
      <c r="B27" s="85"/>
      <c r="C27" s="86"/>
      <c r="D27" s="86"/>
      <c r="E27" s="86"/>
      <c r="F27" s="86"/>
      <c r="G27" s="86"/>
      <c r="H27" s="86"/>
      <c r="I27" s="86"/>
      <c r="J27" s="86"/>
      <c r="K27" s="86"/>
      <c r="L27" s="86"/>
      <c r="M27" s="86"/>
      <c r="N27" s="86"/>
      <c r="O27" s="86"/>
      <c r="P27" s="86"/>
      <c r="Q27" s="86"/>
      <c r="R27" s="87"/>
    </row>
    <row r="28" spans="2:21" ht="20.25" customHeight="1" x14ac:dyDescent="0.25">
      <c r="B28" s="85"/>
      <c r="C28" s="264" t="s">
        <v>46</v>
      </c>
      <c r="D28" s="268" t="s">
        <v>2</v>
      </c>
      <c r="E28" s="268" t="s">
        <v>3</v>
      </c>
      <c r="F28" s="264" t="s">
        <v>4</v>
      </c>
      <c r="G28" s="264" t="s">
        <v>47</v>
      </c>
      <c r="H28" s="265" t="s">
        <v>41</v>
      </c>
      <c r="I28" s="266"/>
      <c r="J28" s="266"/>
      <c r="K28" s="267"/>
      <c r="L28" s="265" t="s">
        <v>42</v>
      </c>
      <c r="M28" s="266"/>
      <c r="N28" s="266"/>
      <c r="O28" s="266"/>
      <c r="P28" s="266"/>
      <c r="Q28" s="266"/>
      <c r="R28" s="87"/>
    </row>
    <row r="29" spans="2:21" ht="56.25" x14ac:dyDescent="0.25">
      <c r="B29" s="85"/>
      <c r="C29" s="264"/>
      <c r="D29" s="269"/>
      <c r="E29" s="269"/>
      <c r="F29" s="264"/>
      <c r="G29" s="264"/>
      <c r="H29" s="61" t="s">
        <v>43</v>
      </c>
      <c r="I29" s="61" t="s">
        <v>3</v>
      </c>
      <c r="J29" s="61" t="s">
        <v>4</v>
      </c>
      <c r="K29" s="61" t="s">
        <v>47</v>
      </c>
      <c r="L29" s="61" t="s">
        <v>43</v>
      </c>
      <c r="M29" s="61" t="s">
        <v>44</v>
      </c>
      <c r="N29" s="61" t="s">
        <v>45</v>
      </c>
      <c r="O29" s="61" t="s">
        <v>3</v>
      </c>
      <c r="P29" s="61" t="s">
        <v>4</v>
      </c>
      <c r="Q29" s="61" t="s">
        <v>47</v>
      </c>
      <c r="R29" s="87"/>
    </row>
    <row r="30" spans="2:21" ht="18.75" x14ac:dyDescent="0.25">
      <c r="B30" s="85"/>
      <c r="C30" s="54" t="s">
        <v>52</v>
      </c>
      <c r="D30" s="55">
        <f t="shared" ref="D30:D36" si="0">H30+L30+M30+N30</f>
        <v>0.2</v>
      </c>
      <c r="E30" s="55">
        <f t="shared" ref="E30:G36" si="1">I30+O30</f>
        <v>0.03</v>
      </c>
      <c r="F30" s="55">
        <f t="shared" si="1"/>
        <v>0</v>
      </c>
      <c r="G30" s="56">
        <f t="shared" si="1"/>
        <v>0.23</v>
      </c>
      <c r="H30" s="55">
        <v>0.05</v>
      </c>
      <c r="I30" s="55">
        <v>0.01</v>
      </c>
      <c r="J30" s="55">
        <v>0</v>
      </c>
      <c r="K30" s="56">
        <f>SUM(H30:J30)</f>
        <v>6.0000000000000005E-2</v>
      </c>
      <c r="L30" s="55">
        <v>0.11</v>
      </c>
      <c r="M30" s="55">
        <v>0.03</v>
      </c>
      <c r="N30" s="57">
        <v>0.01</v>
      </c>
      <c r="O30" s="55">
        <v>0.02</v>
      </c>
      <c r="P30" s="55">
        <v>0</v>
      </c>
      <c r="Q30" s="56">
        <f>SUM(L30:P30)</f>
        <v>0.17</v>
      </c>
      <c r="R30" s="89"/>
      <c r="S30" s="58"/>
      <c r="T30" s="58"/>
      <c r="U30" s="58"/>
    </row>
    <row r="31" spans="2:21" ht="18.75" x14ac:dyDescent="0.25">
      <c r="B31" s="85"/>
      <c r="C31" s="54" t="s">
        <v>53</v>
      </c>
      <c r="D31" s="55">
        <f t="shared" si="0"/>
        <v>0.2</v>
      </c>
      <c r="E31" s="55">
        <f t="shared" si="1"/>
        <v>0.03</v>
      </c>
      <c r="F31" s="55">
        <f t="shared" si="1"/>
        <v>0.02</v>
      </c>
      <c r="G31" s="56">
        <f t="shared" si="1"/>
        <v>0.25</v>
      </c>
      <c r="H31" s="55">
        <v>0.05</v>
      </c>
      <c r="I31" s="55">
        <v>0.01</v>
      </c>
      <c r="J31" s="55">
        <v>0.01</v>
      </c>
      <c r="K31" s="56">
        <f>SUM(H31:J31)</f>
        <v>7.0000000000000007E-2</v>
      </c>
      <c r="L31" s="55">
        <v>0.11</v>
      </c>
      <c r="M31" s="55">
        <v>0.03</v>
      </c>
      <c r="N31" s="57">
        <v>0.01</v>
      </c>
      <c r="O31" s="55">
        <v>0.02</v>
      </c>
      <c r="P31" s="55">
        <v>0.01</v>
      </c>
      <c r="Q31" s="56">
        <f>SUM(L31:P31)</f>
        <v>0.18000000000000002</v>
      </c>
      <c r="R31" s="89"/>
      <c r="S31" s="58"/>
      <c r="T31" s="58"/>
      <c r="U31" s="58"/>
    </row>
    <row r="32" spans="2:21" ht="18.75" x14ac:dyDescent="0.25">
      <c r="B32" s="85"/>
      <c r="C32" s="54" t="s">
        <v>49</v>
      </c>
      <c r="D32" s="55">
        <f t="shared" si="0"/>
        <v>0.22</v>
      </c>
      <c r="E32" s="55">
        <f t="shared" si="1"/>
        <v>4.4999999999999998E-2</v>
      </c>
      <c r="F32" s="55">
        <f t="shared" si="1"/>
        <v>0.02</v>
      </c>
      <c r="G32" s="56">
        <f t="shared" si="1"/>
        <v>0.28500000000000003</v>
      </c>
      <c r="H32" s="55">
        <v>0.06</v>
      </c>
      <c r="I32" s="55">
        <v>1.4999999999999999E-2</v>
      </c>
      <c r="J32" s="55">
        <v>0.01</v>
      </c>
      <c r="K32" s="56">
        <f t="shared" ref="K32:K34" si="2">SUM(H32:J32)</f>
        <v>8.4999999999999992E-2</v>
      </c>
      <c r="L32" s="55">
        <v>0.12</v>
      </c>
      <c r="M32" s="55">
        <v>0.03</v>
      </c>
      <c r="N32" s="57">
        <v>0.01</v>
      </c>
      <c r="O32" s="55">
        <v>0.03</v>
      </c>
      <c r="P32" s="55">
        <v>0.01</v>
      </c>
      <c r="Q32" s="56">
        <f t="shared" ref="Q32:Q34" si="3">SUM(L32:P32)</f>
        <v>0.2</v>
      </c>
      <c r="R32" s="89"/>
      <c r="S32" s="58"/>
      <c r="T32" s="58"/>
      <c r="U32" s="58"/>
    </row>
    <row r="33" spans="2:21" ht="18.75" x14ac:dyDescent="0.25">
      <c r="B33" s="85"/>
      <c r="C33" s="54" t="s">
        <v>50</v>
      </c>
      <c r="D33" s="55">
        <f t="shared" si="0"/>
        <v>0.24000000000000002</v>
      </c>
      <c r="E33" s="55">
        <f t="shared" si="1"/>
        <v>4.4999999999999998E-2</v>
      </c>
      <c r="F33" s="55">
        <f t="shared" si="1"/>
        <v>0.02</v>
      </c>
      <c r="G33" s="56">
        <f t="shared" si="1"/>
        <v>0.30500000000000005</v>
      </c>
      <c r="H33" s="55">
        <v>7.0000000000000007E-2</v>
      </c>
      <c r="I33" s="55">
        <v>1.4999999999999999E-2</v>
      </c>
      <c r="J33" s="55">
        <v>0.01</v>
      </c>
      <c r="K33" s="56">
        <f t="shared" si="2"/>
        <v>9.5000000000000001E-2</v>
      </c>
      <c r="L33" s="55">
        <v>0.13</v>
      </c>
      <c r="M33" s="55">
        <v>0.03</v>
      </c>
      <c r="N33" s="55">
        <v>0.01</v>
      </c>
      <c r="O33" s="55">
        <v>0.03</v>
      </c>
      <c r="P33" s="55">
        <v>0.01</v>
      </c>
      <c r="Q33" s="56">
        <f t="shared" si="3"/>
        <v>0.21000000000000002</v>
      </c>
      <c r="R33" s="89"/>
      <c r="S33" s="58"/>
      <c r="T33" s="58"/>
      <c r="U33" s="58"/>
    </row>
    <row r="34" spans="2:21" ht="18.75" x14ac:dyDescent="0.25">
      <c r="B34" s="85"/>
      <c r="C34" s="54" t="s">
        <v>51</v>
      </c>
      <c r="D34" s="55">
        <f t="shared" si="0"/>
        <v>0.26</v>
      </c>
      <c r="E34" s="55">
        <f t="shared" si="1"/>
        <v>4.4999999999999998E-2</v>
      </c>
      <c r="F34" s="55">
        <f t="shared" si="1"/>
        <v>0.02</v>
      </c>
      <c r="G34" s="56">
        <f t="shared" si="1"/>
        <v>0.32500000000000001</v>
      </c>
      <c r="H34" s="55">
        <v>0.08</v>
      </c>
      <c r="I34" s="55">
        <v>1.4999999999999999E-2</v>
      </c>
      <c r="J34" s="55">
        <v>0.01</v>
      </c>
      <c r="K34" s="56">
        <f t="shared" si="2"/>
        <v>0.105</v>
      </c>
      <c r="L34" s="55">
        <v>0.14000000000000001</v>
      </c>
      <c r="M34" s="55">
        <v>0.03</v>
      </c>
      <c r="N34" s="55">
        <v>0.01</v>
      </c>
      <c r="O34" s="55">
        <v>0.03</v>
      </c>
      <c r="P34" s="55">
        <v>0.01</v>
      </c>
      <c r="Q34" s="56">
        <f t="shared" si="3"/>
        <v>0.22000000000000003</v>
      </c>
      <c r="R34" s="89"/>
      <c r="S34" s="58"/>
      <c r="T34" s="58"/>
      <c r="U34" s="58"/>
    </row>
    <row r="35" spans="2:21" ht="18.75" x14ac:dyDescent="0.25">
      <c r="B35" s="85"/>
      <c r="C35" s="54" t="s">
        <v>54</v>
      </c>
      <c r="D35" s="55">
        <f t="shared" si="0"/>
        <v>0.26</v>
      </c>
      <c r="E35" s="55">
        <f t="shared" si="1"/>
        <v>4.4999999999999998E-2</v>
      </c>
      <c r="F35" s="55">
        <f t="shared" si="1"/>
        <v>0.02</v>
      </c>
      <c r="G35" s="56">
        <f t="shared" si="1"/>
        <v>0.32500000000000001</v>
      </c>
      <c r="H35" s="55">
        <v>0.08</v>
      </c>
      <c r="I35" s="55">
        <v>1.4999999999999999E-2</v>
      </c>
      <c r="J35" s="55">
        <v>0.01</v>
      </c>
      <c r="K35" s="56">
        <f t="shared" ref="K35" si="4">SUM(H35:J35)</f>
        <v>0.105</v>
      </c>
      <c r="L35" s="55">
        <v>0.14000000000000001</v>
      </c>
      <c r="M35" s="55">
        <v>0.03</v>
      </c>
      <c r="N35" s="55">
        <v>0.01</v>
      </c>
      <c r="O35" s="55">
        <v>0.03</v>
      </c>
      <c r="P35" s="55">
        <v>0.01</v>
      </c>
      <c r="Q35" s="56">
        <f t="shared" ref="Q35" si="5">SUM(L35:P35)</f>
        <v>0.22000000000000003</v>
      </c>
      <c r="R35" s="89"/>
      <c r="S35" s="58"/>
      <c r="T35" s="58"/>
      <c r="U35" s="58"/>
    </row>
    <row r="36" spans="2:21" ht="18.75" x14ac:dyDescent="0.25">
      <c r="B36" s="85"/>
      <c r="C36" s="54" t="s">
        <v>48</v>
      </c>
      <c r="D36" s="55">
        <f t="shared" si="0"/>
        <v>0.255</v>
      </c>
      <c r="E36" s="55">
        <f t="shared" si="1"/>
        <v>4.4999999999999998E-2</v>
      </c>
      <c r="F36" s="55">
        <f t="shared" si="1"/>
        <v>0.02</v>
      </c>
      <c r="G36" s="56">
        <f t="shared" si="1"/>
        <v>0.32</v>
      </c>
      <c r="H36" s="55">
        <v>0.08</v>
      </c>
      <c r="I36" s="55">
        <v>1.4999999999999999E-2</v>
      </c>
      <c r="J36" s="55">
        <v>0.01</v>
      </c>
      <c r="K36" s="56">
        <f t="shared" ref="K36" si="6">SUM(H36:J36)</f>
        <v>0.105</v>
      </c>
      <c r="L36" s="55">
        <v>0.14000000000000001</v>
      </c>
      <c r="M36" s="55">
        <v>0.03</v>
      </c>
      <c r="N36" s="55">
        <v>5.0000000000000001E-3</v>
      </c>
      <c r="O36" s="55">
        <v>0.03</v>
      </c>
      <c r="P36" s="55">
        <v>0.01</v>
      </c>
      <c r="Q36" s="56">
        <f t="shared" ref="Q36" si="7">SUM(L36:P36)</f>
        <v>0.21500000000000002</v>
      </c>
      <c r="R36" s="89"/>
      <c r="S36" s="58"/>
      <c r="T36" s="58"/>
      <c r="U36" s="58"/>
    </row>
    <row r="37" spans="2:21" x14ac:dyDescent="0.25">
      <c r="B37" s="85"/>
      <c r="C37" s="86"/>
      <c r="D37" s="86"/>
      <c r="E37" s="86"/>
      <c r="F37" s="86"/>
      <c r="G37" s="86"/>
      <c r="H37" s="86"/>
      <c r="I37" s="86"/>
      <c r="J37" s="86"/>
      <c r="K37" s="86"/>
      <c r="L37" s="86"/>
      <c r="M37" s="86"/>
      <c r="N37" s="86"/>
      <c r="O37" s="86"/>
      <c r="P37" s="86"/>
      <c r="Q37" s="86"/>
      <c r="R37" s="87"/>
    </row>
    <row r="38" spans="2:21" ht="25.5" x14ac:dyDescent="0.35">
      <c r="B38" s="85"/>
      <c r="C38" s="88" t="s">
        <v>56</v>
      </c>
      <c r="D38" s="86"/>
      <c r="E38" s="86"/>
      <c r="F38" s="86"/>
      <c r="G38" s="86"/>
      <c r="H38" s="86"/>
      <c r="I38" s="88" t="s">
        <v>87</v>
      </c>
      <c r="J38" s="86"/>
      <c r="K38" s="86"/>
      <c r="L38" s="86"/>
      <c r="M38" s="86"/>
      <c r="N38" s="86"/>
      <c r="O38" s="86"/>
      <c r="P38" s="86"/>
      <c r="Q38" s="86"/>
      <c r="R38" s="87"/>
    </row>
    <row r="39" spans="2:21" ht="8.25" customHeight="1" x14ac:dyDescent="0.25">
      <c r="B39" s="85"/>
      <c r="C39" s="86"/>
      <c r="D39" s="86"/>
      <c r="E39" s="86"/>
      <c r="F39" s="86"/>
      <c r="G39" s="86"/>
      <c r="H39" s="86"/>
      <c r="I39" s="86"/>
      <c r="J39" s="86"/>
      <c r="K39" s="86"/>
      <c r="L39" s="86"/>
      <c r="M39" s="86"/>
      <c r="N39" s="86"/>
      <c r="O39" s="86"/>
      <c r="P39" s="86"/>
      <c r="Q39" s="86"/>
      <c r="R39" s="87"/>
    </row>
    <row r="40" spans="2:21" s="59" customFormat="1" ht="37.5" x14ac:dyDescent="0.3">
      <c r="B40" s="90"/>
      <c r="C40" s="61" t="s">
        <v>57</v>
      </c>
      <c r="D40" s="61" t="s">
        <v>58</v>
      </c>
      <c r="E40" s="270" t="s">
        <v>59</v>
      </c>
      <c r="F40" s="271"/>
      <c r="G40" s="271"/>
      <c r="H40" s="91"/>
      <c r="I40" s="264" t="s">
        <v>89</v>
      </c>
      <c r="J40" s="264" t="s">
        <v>106</v>
      </c>
      <c r="K40" s="264"/>
      <c r="L40" s="264"/>
      <c r="M40" s="264"/>
      <c r="N40" s="264" t="s">
        <v>59</v>
      </c>
      <c r="O40" s="264"/>
      <c r="P40" s="264"/>
      <c r="Q40" s="264"/>
      <c r="R40" s="92"/>
    </row>
    <row r="41" spans="2:21" s="59" customFormat="1" ht="18.75" x14ac:dyDescent="0.3">
      <c r="B41" s="90"/>
      <c r="C41" s="54" t="s">
        <v>73</v>
      </c>
      <c r="D41" s="60">
        <v>290000</v>
      </c>
      <c r="E41" s="260" t="s">
        <v>60</v>
      </c>
      <c r="F41" s="260"/>
      <c r="G41" s="260"/>
      <c r="H41" s="91"/>
      <c r="I41" s="264"/>
      <c r="J41" s="61" t="s">
        <v>90</v>
      </c>
      <c r="K41" s="61" t="s">
        <v>91</v>
      </c>
      <c r="L41" s="61" t="s">
        <v>92</v>
      </c>
      <c r="M41" s="61" t="s">
        <v>93</v>
      </c>
      <c r="N41" s="264"/>
      <c r="O41" s="264"/>
      <c r="P41" s="264"/>
      <c r="Q41" s="264"/>
      <c r="R41" s="92"/>
    </row>
    <row r="42" spans="2:21" s="59" customFormat="1" ht="18.75" x14ac:dyDescent="0.3">
      <c r="B42" s="90"/>
      <c r="C42" s="54" t="s">
        <v>74</v>
      </c>
      <c r="D42" s="60">
        <v>350000</v>
      </c>
      <c r="E42" s="260" t="s">
        <v>61</v>
      </c>
      <c r="F42" s="260"/>
      <c r="G42" s="260"/>
      <c r="H42" s="91"/>
      <c r="I42" s="62" t="s">
        <v>94</v>
      </c>
      <c r="J42" s="63">
        <v>800000</v>
      </c>
      <c r="K42" s="63">
        <v>740000</v>
      </c>
      <c r="L42" s="63">
        <v>690000</v>
      </c>
      <c r="M42" s="63">
        <v>650000</v>
      </c>
      <c r="N42" s="260" t="s">
        <v>95</v>
      </c>
      <c r="O42" s="260"/>
      <c r="P42" s="260"/>
      <c r="Q42" s="260"/>
      <c r="R42" s="92"/>
    </row>
    <row r="43" spans="2:21" s="59" customFormat="1" ht="18.75" x14ac:dyDescent="0.3">
      <c r="B43" s="90"/>
      <c r="C43" s="54" t="s">
        <v>75</v>
      </c>
      <c r="D43" s="60">
        <v>450000</v>
      </c>
      <c r="E43" s="260" t="s">
        <v>62</v>
      </c>
      <c r="F43" s="260"/>
      <c r="G43" s="260"/>
      <c r="H43" s="91"/>
      <c r="I43" s="62" t="s">
        <v>96</v>
      </c>
      <c r="J43" s="63">
        <v>980000</v>
      </c>
      <c r="K43" s="63">
        <v>880000</v>
      </c>
      <c r="L43" s="63">
        <v>810000</v>
      </c>
      <c r="M43" s="63">
        <v>730000</v>
      </c>
      <c r="N43" s="260" t="s">
        <v>111</v>
      </c>
      <c r="O43" s="260"/>
      <c r="P43" s="260"/>
      <c r="Q43" s="260"/>
      <c r="R43" s="92"/>
    </row>
    <row r="44" spans="2:21" s="59" customFormat="1" ht="18.75" x14ac:dyDescent="0.3">
      <c r="B44" s="90"/>
      <c r="C44" s="54" t="s">
        <v>76</v>
      </c>
      <c r="D44" s="60">
        <v>540000</v>
      </c>
      <c r="E44" s="260" t="s">
        <v>63</v>
      </c>
      <c r="F44" s="260"/>
      <c r="G44" s="260"/>
      <c r="H44" s="91"/>
      <c r="I44" s="62" t="s">
        <v>97</v>
      </c>
      <c r="J44" s="63">
        <v>1350000</v>
      </c>
      <c r="K44" s="63">
        <v>1200000</v>
      </c>
      <c r="L44" s="63">
        <v>1050000</v>
      </c>
      <c r="M44" s="63">
        <v>830000</v>
      </c>
      <c r="N44" s="260" t="s">
        <v>112</v>
      </c>
      <c r="O44" s="260"/>
      <c r="P44" s="260"/>
      <c r="Q44" s="260"/>
      <c r="R44" s="92"/>
    </row>
    <row r="45" spans="2:21" s="59" customFormat="1" ht="18.75" x14ac:dyDescent="0.3">
      <c r="B45" s="90"/>
      <c r="C45" s="54" t="s">
        <v>88</v>
      </c>
      <c r="D45" s="60">
        <v>650000</v>
      </c>
      <c r="E45" s="260" t="s">
        <v>64</v>
      </c>
      <c r="F45" s="260"/>
      <c r="G45" s="260"/>
      <c r="H45" s="91"/>
      <c r="I45" s="62" t="s">
        <v>98</v>
      </c>
      <c r="J45" s="63">
        <v>2000000</v>
      </c>
      <c r="K45" s="63">
        <v>1780000</v>
      </c>
      <c r="L45" s="63">
        <v>1550000</v>
      </c>
      <c r="M45" s="63">
        <v>1400000</v>
      </c>
      <c r="N45" s="260" t="s">
        <v>113</v>
      </c>
      <c r="O45" s="260"/>
      <c r="P45" s="260"/>
      <c r="Q45" s="260"/>
      <c r="R45" s="92"/>
    </row>
    <row r="46" spans="2:21" s="59" customFormat="1" ht="18.75" x14ac:dyDescent="0.3">
      <c r="B46" s="90"/>
      <c r="C46" s="54" t="s">
        <v>77</v>
      </c>
      <c r="D46" s="60">
        <v>730000</v>
      </c>
      <c r="E46" s="260" t="s">
        <v>65</v>
      </c>
      <c r="F46" s="260"/>
      <c r="G46" s="260"/>
      <c r="H46" s="91"/>
      <c r="I46" s="62" t="s">
        <v>99</v>
      </c>
      <c r="J46" s="63">
        <v>2350000</v>
      </c>
      <c r="K46" s="63">
        <v>2100000</v>
      </c>
      <c r="L46" s="63">
        <v>1800000</v>
      </c>
      <c r="M46" s="63">
        <v>1650000</v>
      </c>
      <c r="N46" s="260" t="s">
        <v>114</v>
      </c>
      <c r="O46" s="260"/>
      <c r="P46" s="260"/>
      <c r="Q46" s="260"/>
      <c r="R46" s="92"/>
    </row>
    <row r="47" spans="2:21" s="59" customFormat="1" ht="18.75" x14ac:dyDescent="0.3">
      <c r="B47" s="90"/>
      <c r="C47" s="54" t="s">
        <v>78</v>
      </c>
      <c r="D47" s="60">
        <v>830000</v>
      </c>
      <c r="E47" s="260" t="s">
        <v>66</v>
      </c>
      <c r="F47" s="260"/>
      <c r="G47" s="260"/>
      <c r="H47" s="91"/>
      <c r="I47" s="62" t="s">
        <v>100</v>
      </c>
      <c r="J47" s="63">
        <v>2700000</v>
      </c>
      <c r="K47" s="63">
        <v>2400000</v>
      </c>
      <c r="L47" s="63">
        <v>2100000</v>
      </c>
      <c r="M47" s="63">
        <v>1900000</v>
      </c>
      <c r="N47" s="260" t="s">
        <v>115</v>
      </c>
      <c r="O47" s="260"/>
      <c r="P47" s="260"/>
      <c r="Q47" s="260"/>
      <c r="R47" s="92"/>
    </row>
    <row r="48" spans="2:21" s="59" customFormat="1" ht="18.75" x14ac:dyDescent="0.3">
      <c r="B48" s="90"/>
      <c r="C48" s="54" t="s">
        <v>79</v>
      </c>
      <c r="D48" s="60">
        <v>1050000</v>
      </c>
      <c r="E48" s="260" t="s">
        <v>67</v>
      </c>
      <c r="F48" s="260"/>
      <c r="G48" s="260"/>
      <c r="H48" s="91"/>
      <c r="I48" s="62" t="s">
        <v>101</v>
      </c>
      <c r="J48" s="63">
        <v>3100000</v>
      </c>
      <c r="K48" s="63">
        <v>2750000</v>
      </c>
      <c r="L48" s="63">
        <v>2400000</v>
      </c>
      <c r="M48" s="63">
        <v>2150000</v>
      </c>
      <c r="N48" s="260" t="s">
        <v>116</v>
      </c>
      <c r="O48" s="260"/>
      <c r="P48" s="260"/>
      <c r="Q48" s="260"/>
      <c r="R48" s="92"/>
    </row>
    <row r="49" spans="2:18" s="59" customFormat="1" ht="18.75" x14ac:dyDescent="0.3">
      <c r="B49" s="90"/>
      <c r="C49" s="54" t="s">
        <v>80</v>
      </c>
      <c r="D49" s="60">
        <v>1150000</v>
      </c>
      <c r="E49" s="260" t="s">
        <v>68</v>
      </c>
      <c r="F49" s="260"/>
      <c r="G49" s="260"/>
      <c r="H49" s="91"/>
      <c r="I49" s="62" t="s">
        <v>102</v>
      </c>
      <c r="J49" s="63">
        <v>3500000</v>
      </c>
      <c r="K49" s="63">
        <v>3100000</v>
      </c>
      <c r="L49" s="63">
        <v>2700000</v>
      </c>
      <c r="M49" s="63">
        <v>2400000</v>
      </c>
      <c r="N49" s="260" t="s">
        <v>117</v>
      </c>
      <c r="O49" s="260"/>
      <c r="P49" s="260"/>
      <c r="Q49" s="260"/>
      <c r="R49" s="92"/>
    </row>
    <row r="50" spans="2:18" s="59" customFormat="1" ht="18.75" x14ac:dyDescent="0.3">
      <c r="B50" s="90"/>
      <c r="C50" s="54" t="s">
        <v>81</v>
      </c>
      <c r="D50" s="60">
        <v>1210000</v>
      </c>
      <c r="E50" s="260" t="s">
        <v>69</v>
      </c>
      <c r="F50" s="260"/>
      <c r="G50" s="260"/>
      <c r="H50" s="91"/>
      <c r="I50" s="62" t="s">
        <v>103</v>
      </c>
      <c r="J50" s="63">
        <v>3750000</v>
      </c>
      <c r="K50" s="63">
        <v>3320000</v>
      </c>
      <c r="L50" s="63">
        <v>2900000</v>
      </c>
      <c r="M50" s="63">
        <v>2580000</v>
      </c>
      <c r="N50" s="260" t="s">
        <v>118</v>
      </c>
      <c r="O50" s="260"/>
      <c r="P50" s="260"/>
      <c r="Q50" s="260"/>
      <c r="R50" s="92"/>
    </row>
    <row r="51" spans="2:18" s="59" customFormat="1" ht="18.75" x14ac:dyDescent="0.3">
      <c r="B51" s="90"/>
      <c r="C51" s="54" t="s">
        <v>82</v>
      </c>
      <c r="D51" s="60">
        <v>1300000</v>
      </c>
      <c r="E51" s="260" t="s">
        <v>70</v>
      </c>
      <c r="F51" s="260"/>
      <c r="G51" s="260"/>
      <c r="H51" s="91"/>
      <c r="I51" s="62" t="s">
        <v>104</v>
      </c>
      <c r="J51" s="63">
        <v>3980000</v>
      </c>
      <c r="K51" s="63">
        <v>3530000</v>
      </c>
      <c r="L51" s="63">
        <v>3090000</v>
      </c>
      <c r="M51" s="63">
        <v>2760000</v>
      </c>
      <c r="N51" s="260" t="s">
        <v>105</v>
      </c>
      <c r="O51" s="260"/>
      <c r="P51" s="260"/>
      <c r="Q51" s="260"/>
      <c r="R51" s="92"/>
    </row>
    <row r="52" spans="2:18" s="59" customFormat="1" ht="37.5" x14ac:dyDescent="0.3">
      <c r="B52" s="90"/>
      <c r="C52" s="54" t="s">
        <v>83</v>
      </c>
      <c r="D52" s="60">
        <v>1390000</v>
      </c>
      <c r="E52" s="260" t="s">
        <v>71</v>
      </c>
      <c r="F52" s="260"/>
      <c r="G52" s="260"/>
      <c r="H52" s="91"/>
      <c r="I52" s="62" t="s">
        <v>107</v>
      </c>
      <c r="J52" s="63">
        <v>4180000</v>
      </c>
      <c r="K52" s="63">
        <v>3710000</v>
      </c>
      <c r="L52" s="63">
        <v>3250000</v>
      </c>
      <c r="M52" s="63">
        <v>2920000</v>
      </c>
      <c r="N52" s="260" t="s">
        <v>108</v>
      </c>
      <c r="O52" s="260"/>
      <c r="P52" s="260"/>
      <c r="Q52" s="260"/>
      <c r="R52" s="92"/>
    </row>
    <row r="53" spans="2:18" s="59" customFormat="1" ht="37.5" x14ac:dyDescent="0.3">
      <c r="B53" s="90"/>
      <c r="C53" s="54" t="s">
        <v>85</v>
      </c>
      <c r="D53" s="60">
        <v>1490000</v>
      </c>
      <c r="E53" s="260" t="s">
        <v>72</v>
      </c>
      <c r="F53" s="260"/>
      <c r="G53" s="260"/>
      <c r="H53" s="91"/>
      <c r="I53" s="62" t="s">
        <v>109</v>
      </c>
      <c r="J53" s="63">
        <v>4420000</v>
      </c>
      <c r="K53" s="63">
        <v>3920000</v>
      </c>
      <c r="L53" s="63">
        <v>3420000</v>
      </c>
      <c r="M53" s="63">
        <v>3070000</v>
      </c>
      <c r="N53" s="260" t="s">
        <v>110</v>
      </c>
      <c r="O53" s="260"/>
      <c r="P53" s="260"/>
      <c r="Q53" s="260"/>
      <c r="R53" s="92"/>
    </row>
    <row r="54" spans="2:18" ht="56.25" x14ac:dyDescent="0.25">
      <c r="B54" s="85"/>
      <c r="C54" s="54" t="s">
        <v>86</v>
      </c>
      <c r="D54" s="60">
        <v>1600000</v>
      </c>
      <c r="E54" s="260" t="s">
        <v>84</v>
      </c>
      <c r="F54" s="260"/>
      <c r="G54" s="260"/>
      <c r="H54" s="86"/>
      <c r="I54" s="86"/>
      <c r="J54" s="86"/>
      <c r="K54" s="86"/>
      <c r="L54" s="86"/>
      <c r="M54" s="86"/>
      <c r="N54" s="86"/>
      <c r="O54" s="86"/>
      <c r="P54" s="86"/>
      <c r="Q54" s="86"/>
      <c r="R54" s="87"/>
    </row>
    <row r="55" spans="2:18" ht="16.5" thickBot="1" x14ac:dyDescent="0.3">
      <c r="B55" s="93"/>
      <c r="C55" s="94"/>
      <c r="D55" s="94"/>
      <c r="E55" s="94"/>
      <c r="F55" s="94"/>
      <c r="G55" s="94"/>
      <c r="H55" s="94"/>
      <c r="I55" s="94"/>
      <c r="J55" s="94"/>
      <c r="K55" s="94"/>
      <c r="L55" s="94"/>
      <c r="M55" s="94"/>
      <c r="N55" s="94"/>
      <c r="O55" s="94"/>
      <c r="P55" s="94"/>
      <c r="Q55" s="94"/>
      <c r="R55" s="95"/>
    </row>
    <row r="56" spans="2:18" ht="17.25" thickTop="1" thickBot="1" x14ac:dyDescent="0.3"/>
    <row r="57" spans="2:18" ht="45.75" thickTop="1" x14ac:dyDescent="0.6">
      <c r="B57" s="257" t="s">
        <v>317</v>
      </c>
      <c r="C57" s="258"/>
      <c r="D57" s="258"/>
      <c r="E57" s="258"/>
      <c r="F57" s="258"/>
      <c r="G57" s="258"/>
      <c r="H57" s="258"/>
      <c r="I57" s="258"/>
      <c r="J57" s="258"/>
      <c r="K57" s="258"/>
      <c r="L57" s="258"/>
      <c r="M57" s="258"/>
      <c r="N57" s="258"/>
      <c r="O57" s="258"/>
      <c r="P57" s="258"/>
      <c r="Q57" s="258"/>
      <c r="R57" s="259"/>
    </row>
    <row r="58" spans="2:18" x14ac:dyDescent="0.25">
      <c r="B58" s="85"/>
      <c r="C58" s="86"/>
      <c r="D58" s="86"/>
      <c r="E58" s="86"/>
      <c r="F58" s="86"/>
      <c r="G58" s="86"/>
      <c r="H58" s="86"/>
      <c r="I58" s="86"/>
      <c r="J58" s="86"/>
      <c r="K58" s="86"/>
      <c r="L58" s="86"/>
      <c r="M58" s="86"/>
      <c r="N58" s="86"/>
      <c r="O58" s="86"/>
      <c r="P58" s="86"/>
      <c r="Q58" s="86"/>
      <c r="R58" s="87"/>
    </row>
    <row r="59" spans="2:18" x14ac:dyDescent="0.25">
      <c r="B59" s="85"/>
      <c r="C59" s="53" t="s">
        <v>12</v>
      </c>
      <c r="D59" s="53" t="s">
        <v>131</v>
      </c>
      <c r="R59" s="87"/>
    </row>
    <row r="60" spans="2:18" x14ac:dyDescent="0.25">
      <c r="B60" s="85"/>
      <c r="C60" s="39" t="s">
        <v>38</v>
      </c>
      <c r="D60" s="39" t="s">
        <v>132</v>
      </c>
      <c r="R60" s="87"/>
    </row>
    <row r="61" spans="2:18" x14ac:dyDescent="0.25">
      <c r="B61" s="85"/>
      <c r="C61" s="39" t="s">
        <v>37</v>
      </c>
      <c r="D61" s="39" t="s">
        <v>133</v>
      </c>
      <c r="R61" s="87"/>
    </row>
    <row r="62" spans="2:18" x14ac:dyDescent="0.25">
      <c r="B62" s="85"/>
      <c r="C62" s="39" t="s">
        <v>39</v>
      </c>
      <c r="D62" s="39" t="s">
        <v>134</v>
      </c>
      <c r="R62" s="87"/>
    </row>
    <row r="63" spans="2:18" x14ac:dyDescent="0.25">
      <c r="B63" s="85"/>
      <c r="C63" s="39" t="s">
        <v>40</v>
      </c>
      <c r="R63" s="87"/>
    </row>
    <row r="64" spans="2:18" ht="16.5" thickBot="1" x14ac:dyDescent="0.3">
      <c r="B64" s="93"/>
      <c r="C64" s="94"/>
      <c r="D64" s="94"/>
      <c r="E64" s="94"/>
      <c r="F64" s="94"/>
      <c r="G64" s="94"/>
      <c r="H64" s="94"/>
      <c r="I64" s="94"/>
      <c r="J64" s="94"/>
      <c r="K64" s="94"/>
      <c r="L64" s="94"/>
      <c r="M64" s="94"/>
      <c r="N64" s="94"/>
      <c r="O64" s="94"/>
      <c r="P64" s="94"/>
      <c r="Q64" s="94"/>
      <c r="R64" s="95"/>
    </row>
    <row r="65" spans="2:18" ht="17.25" thickTop="1" thickBot="1" x14ac:dyDescent="0.3"/>
    <row r="66" spans="2:18" ht="45.75" thickTop="1" x14ac:dyDescent="0.6">
      <c r="B66" s="261" t="s">
        <v>287</v>
      </c>
      <c r="C66" s="262"/>
      <c r="D66" s="262"/>
      <c r="E66" s="262"/>
      <c r="F66" s="262"/>
      <c r="G66" s="262"/>
      <c r="H66" s="262"/>
      <c r="I66" s="262"/>
      <c r="J66" s="262"/>
      <c r="K66" s="262"/>
      <c r="L66" s="262"/>
      <c r="M66" s="262"/>
      <c r="N66" s="262"/>
      <c r="O66" s="262"/>
      <c r="P66" s="262"/>
      <c r="Q66" s="262"/>
      <c r="R66" s="263"/>
    </row>
    <row r="67" spans="2:18" ht="18.75" x14ac:dyDescent="0.3">
      <c r="B67" s="215"/>
      <c r="C67" s="91"/>
      <c r="D67" s="91"/>
      <c r="E67" s="91"/>
      <c r="F67" s="91"/>
      <c r="G67" s="91"/>
      <c r="H67" s="91"/>
      <c r="I67" s="91"/>
      <c r="J67" s="91"/>
      <c r="K67" s="91"/>
      <c r="L67" s="91"/>
      <c r="M67" s="91"/>
      <c r="N67" s="91"/>
      <c r="O67" s="91"/>
      <c r="P67" s="91"/>
      <c r="Q67" s="91"/>
      <c r="R67" s="216"/>
    </row>
    <row r="68" spans="2:18" ht="18.75" x14ac:dyDescent="0.3">
      <c r="B68" s="215"/>
      <c r="C68" s="217" t="s">
        <v>288</v>
      </c>
      <c r="D68" s="217"/>
      <c r="E68" s="218"/>
      <c r="F68" s="218"/>
      <c r="G68" s="218"/>
      <c r="H68" s="218"/>
      <c r="I68" s="218"/>
      <c r="J68" s="218"/>
      <c r="K68" s="218"/>
      <c r="L68" s="218"/>
      <c r="M68" s="218"/>
      <c r="N68" s="218"/>
      <c r="O68" s="218"/>
      <c r="P68" s="218"/>
      <c r="Q68" s="218"/>
      <c r="R68" s="216"/>
    </row>
    <row r="69" spans="2:18" ht="18.75" x14ac:dyDescent="0.3">
      <c r="B69" s="215"/>
      <c r="C69" s="219" t="s">
        <v>290</v>
      </c>
      <c r="D69" s="91"/>
      <c r="E69" s="91"/>
      <c r="F69" s="91"/>
      <c r="G69" s="91"/>
      <c r="H69" s="91"/>
      <c r="I69" s="91"/>
      <c r="J69" s="91"/>
      <c r="K69" s="91"/>
      <c r="L69" s="91"/>
      <c r="M69" s="91"/>
      <c r="N69" s="91"/>
      <c r="O69" s="91"/>
      <c r="P69" s="91"/>
      <c r="Q69" s="91"/>
      <c r="R69" s="216"/>
    </row>
    <row r="70" spans="2:18" ht="18.75" x14ac:dyDescent="0.3">
      <c r="B70" s="215"/>
      <c r="C70" s="91" t="s">
        <v>318</v>
      </c>
      <c r="E70" s="91"/>
      <c r="F70" s="91"/>
      <c r="G70" s="91"/>
      <c r="H70" s="91"/>
      <c r="I70" s="91"/>
      <c r="J70" s="91"/>
      <c r="K70" s="91"/>
      <c r="L70" s="91"/>
      <c r="M70" s="91"/>
      <c r="N70" s="91"/>
      <c r="O70" s="91"/>
      <c r="P70" s="91"/>
      <c r="Q70" s="91"/>
      <c r="R70" s="216"/>
    </row>
    <row r="71" spans="2:18" ht="18.75" x14ac:dyDescent="0.3">
      <c r="B71" s="215"/>
      <c r="C71" s="91"/>
      <c r="E71" s="91"/>
      <c r="F71" s="91"/>
      <c r="G71" s="91"/>
      <c r="H71" s="91"/>
      <c r="I71" s="91"/>
      <c r="J71" s="91"/>
      <c r="K71" s="91"/>
      <c r="L71" s="91"/>
      <c r="M71" s="91"/>
      <c r="N71" s="91"/>
      <c r="O71" s="91"/>
      <c r="P71" s="91"/>
      <c r="Q71" s="91"/>
      <c r="R71" s="216"/>
    </row>
    <row r="72" spans="2:18" ht="18.75" x14ac:dyDescent="0.3">
      <c r="B72" s="215"/>
      <c r="C72" s="91" t="s">
        <v>320</v>
      </c>
      <c r="E72" s="91"/>
      <c r="F72" s="91"/>
      <c r="G72" s="91"/>
      <c r="H72" s="91"/>
      <c r="I72" s="91"/>
      <c r="J72" s="91"/>
      <c r="K72" s="91"/>
      <c r="L72" s="91"/>
      <c r="M72" s="91"/>
      <c r="N72" s="91"/>
      <c r="O72" s="91"/>
      <c r="P72" s="91"/>
      <c r="Q72" s="91"/>
      <c r="R72" s="216"/>
    </row>
    <row r="73" spans="2:18" ht="18.75" x14ac:dyDescent="0.3">
      <c r="B73" s="215"/>
      <c r="C73" s="91"/>
      <c r="D73" s="91"/>
      <c r="E73" s="91"/>
      <c r="F73" s="91"/>
      <c r="G73" s="91"/>
      <c r="H73" s="91"/>
      <c r="I73" s="91"/>
      <c r="J73" s="91"/>
      <c r="K73" s="91"/>
      <c r="L73" s="91"/>
      <c r="M73" s="91"/>
      <c r="N73" s="91"/>
      <c r="O73" s="91"/>
      <c r="P73" s="91"/>
      <c r="Q73" s="91"/>
      <c r="R73" s="216"/>
    </row>
    <row r="74" spans="2:18" ht="18.75" x14ac:dyDescent="0.3">
      <c r="B74" s="215"/>
      <c r="C74" s="91" t="s">
        <v>319</v>
      </c>
      <c r="D74" s="91"/>
      <c r="E74" s="91"/>
      <c r="F74" s="91"/>
      <c r="G74" s="91"/>
      <c r="H74" s="91"/>
      <c r="I74" s="91"/>
      <c r="J74" s="91"/>
      <c r="K74" s="91"/>
      <c r="L74" s="91"/>
      <c r="M74" s="91"/>
      <c r="N74" s="91"/>
      <c r="O74" s="91"/>
      <c r="P74" s="91"/>
      <c r="Q74" s="91"/>
      <c r="R74" s="216"/>
    </row>
    <row r="75" spans="2:18" ht="18.75" x14ac:dyDescent="0.3">
      <c r="B75" s="215"/>
      <c r="C75" s="91"/>
      <c r="D75" s="91"/>
      <c r="E75" s="91"/>
      <c r="F75" s="91"/>
      <c r="G75" s="91"/>
      <c r="H75" s="91"/>
      <c r="I75" s="91"/>
      <c r="J75" s="91"/>
      <c r="K75" s="91"/>
      <c r="L75" s="91"/>
      <c r="M75" s="91"/>
      <c r="N75" s="91"/>
      <c r="O75" s="91"/>
      <c r="P75" s="91"/>
      <c r="Q75" s="91"/>
      <c r="R75" s="216"/>
    </row>
    <row r="76" spans="2:18" ht="18.75" x14ac:dyDescent="0.3">
      <c r="B76" s="215"/>
      <c r="C76" s="91" t="s">
        <v>316</v>
      </c>
      <c r="D76" s="91"/>
      <c r="E76" s="91"/>
      <c r="F76" s="91"/>
      <c r="G76" s="91"/>
      <c r="H76" s="91"/>
      <c r="I76" s="91"/>
      <c r="J76" s="91"/>
      <c r="K76" s="91"/>
      <c r="L76" s="91"/>
      <c r="M76" s="91"/>
      <c r="N76" s="91"/>
      <c r="O76" s="91"/>
      <c r="P76" s="91"/>
      <c r="Q76" s="91"/>
      <c r="R76" s="216"/>
    </row>
    <row r="77" spans="2:18" ht="18.75" x14ac:dyDescent="0.3">
      <c r="B77" s="215"/>
      <c r="C77" s="91"/>
      <c r="D77" s="91"/>
      <c r="E77" s="91"/>
      <c r="F77" s="91"/>
      <c r="G77" s="91"/>
      <c r="H77" s="91"/>
      <c r="I77" s="91"/>
      <c r="J77" s="91"/>
      <c r="K77" s="91"/>
      <c r="L77" s="91"/>
      <c r="M77" s="91"/>
      <c r="N77" s="91"/>
      <c r="O77" s="91"/>
      <c r="P77" s="91"/>
      <c r="Q77" s="91"/>
      <c r="R77" s="216"/>
    </row>
    <row r="78" spans="2:18" ht="18.75" x14ac:dyDescent="0.3">
      <c r="B78" s="215"/>
      <c r="C78" s="219" t="s">
        <v>291</v>
      </c>
      <c r="D78" s="91"/>
      <c r="E78" s="91"/>
      <c r="F78" s="91"/>
      <c r="G78" s="91"/>
      <c r="H78" s="91"/>
      <c r="I78" s="91"/>
      <c r="J78" s="91"/>
      <c r="K78" s="91"/>
      <c r="L78" s="91"/>
      <c r="M78" s="91"/>
      <c r="N78" s="91"/>
      <c r="O78" s="91"/>
      <c r="P78" s="91"/>
      <c r="Q78" s="91"/>
      <c r="R78" s="216"/>
    </row>
    <row r="79" spans="2:18" ht="18.75" x14ac:dyDescent="0.3">
      <c r="B79" s="215"/>
      <c r="C79" s="91" t="s">
        <v>321</v>
      </c>
      <c r="D79" s="91"/>
      <c r="E79" s="91"/>
      <c r="F79" s="91"/>
      <c r="G79" s="91"/>
      <c r="H79" s="91"/>
      <c r="I79" s="91"/>
      <c r="J79" s="91"/>
      <c r="K79" s="91"/>
      <c r="L79" s="91"/>
      <c r="M79" s="91"/>
      <c r="N79" s="91"/>
      <c r="O79" s="91"/>
      <c r="P79" s="91"/>
      <c r="Q79" s="91"/>
      <c r="R79" s="216"/>
    </row>
    <row r="80" spans="2:18" ht="18.75" x14ac:dyDescent="0.3">
      <c r="B80" s="215"/>
      <c r="C80" s="91"/>
      <c r="D80" s="91"/>
      <c r="E80" s="91"/>
      <c r="F80" s="91"/>
      <c r="G80" s="91"/>
      <c r="H80" s="91"/>
      <c r="I80" s="91"/>
      <c r="J80" s="91"/>
      <c r="K80" s="91"/>
      <c r="L80" s="91"/>
      <c r="M80" s="91"/>
      <c r="N80" s="91"/>
      <c r="O80" s="91"/>
      <c r="P80" s="91"/>
      <c r="Q80" s="91"/>
      <c r="R80" s="216"/>
    </row>
    <row r="81" spans="2:18" ht="18.75" x14ac:dyDescent="0.3">
      <c r="B81" s="215"/>
      <c r="C81" s="217" t="s">
        <v>289</v>
      </c>
      <c r="D81" s="217"/>
      <c r="E81" s="218"/>
      <c r="F81" s="218"/>
      <c r="G81" s="218"/>
      <c r="H81" s="218"/>
      <c r="I81" s="218"/>
      <c r="J81" s="218"/>
      <c r="K81" s="218"/>
      <c r="L81" s="218"/>
      <c r="M81" s="218"/>
      <c r="N81" s="218"/>
      <c r="O81" s="218"/>
      <c r="P81" s="218"/>
      <c r="Q81" s="218"/>
      <c r="R81" s="216"/>
    </row>
    <row r="82" spans="2:18" ht="18.75" x14ac:dyDescent="0.3">
      <c r="B82" s="215"/>
      <c r="C82" s="219" t="s">
        <v>322</v>
      </c>
      <c r="D82" s="91"/>
      <c r="E82" s="91"/>
      <c r="F82" s="91"/>
      <c r="G82" s="91"/>
      <c r="H82" s="91"/>
      <c r="I82" s="91"/>
      <c r="J82" s="91"/>
      <c r="K82" s="91"/>
      <c r="L82" s="91"/>
      <c r="M82" s="91"/>
      <c r="N82" s="91"/>
      <c r="O82" s="91"/>
      <c r="P82" s="91"/>
      <c r="Q82" s="91"/>
      <c r="R82" s="216"/>
    </row>
    <row r="83" spans="2:18" ht="18.75" x14ac:dyDescent="0.3">
      <c r="B83" s="215"/>
      <c r="C83" s="91"/>
      <c r="D83" s="91"/>
      <c r="E83" s="91"/>
      <c r="F83" s="91"/>
      <c r="G83" s="91"/>
      <c r="H83" s="91"/>
      <c r="I83" s="91"/>
      <c r="J83" s="91"/>
      <c r="K83" s="91"/>
      <c r="L83" s="91"/>
      <c r="M83" s="91"/>
      <c r="N83" s="91"/>
      <c r="O83" s="91"/>
      <c r="P83" s="91"/>
      <c r="Q83" s="91"/>
      <c r="R83" s="216"/>
    </row>
    <row r="84" spans="2:18" ht="18.75" x14ac:dyDescent="0.3">
      <c r="B84" s="215"/>
      <c r="C84" s="91" t="s">
        <v>292</v>
      </c>
      <c r="D84" s="91"/>
      <c r="E84" s="91"/>
      <c r="F84" s="91"/>
      <c r="G84" s="91"/>
      <c r="H84" s="91"/>
      <c r="I84" s="91"/>
      <c r="J84" s="91"/>
      <c r="K84" s="91"/>
      <c r="L84" s="91"/>
      <c r="M84" s="91"/>
      <c r="N84" s="91"/>
      <c r="O84" s="91"/>
      <c r="P84" s="91"/>
      <c r="Q84" s="91"/>
      <c r="R84" s="216"/>
    </row>
    <row r="85" spans="2:18" ht="19.5" thickBot="1" x14ac:dyDescent="0.35">
      <c r="B85" s="220"/>
      <c r="C85" s="221"/>
      <c r="D85" s="221"/>
      <c r="E85" s="221"/>
      <c r="F85" s="221"/>
      <c r="G85" s="221"/>
      <c r="H85" s="221"/>
      <c r="I85" s="221"/>
      <c r="J85" s="221"/>
      <c r="K85" s="221"/>
      <c r="L85" s="221"/>
      <c r="M85" s="221"/>
      <c r="N85" s="221"/>
      <c r="O85" s="221"/>
      <c r="P85" s="221"/>
      <c r="Q85" s="221"/>
      <c r="R85" s="222"/>
    </row>
    <row r="86" spans="2:18" ht="16.5" thickTop="1" x14ac:dyDescent="0.25"/>
  </sheetData>
  <mergeCells count="43">
    <mergeCell ref="N48:Q48"/>
    <mergeCell ref="N49:Q49"/>
    <mergeCell ref="N50:Q50"/>
    <mergeCell ref="N43:Q43"/>
    <mergeCell ref="N44:Q44"/>
    <mergeCell ref="E41:G41"/>
    <mergeCell ref="E42:G42"/>
    <mergeCell ref="E43:G43"/>
    <mergeCell ref="E44:G44"/>
    <mergeCell ref="I40:I41"/>
    <mergeCell ref="J40:M40"/>
    <mergeCell ref="B57:R57"/>
    <mergeCell ref="B66:R66"/>
    <mergeCell ref="E45:G45"/>
    <mergeCell ref="E46:G46"/>
    <mergeCell ref="E53:G53"/>
    <mergeCell ref="E54:G54"/>
    <mergeCell ref="E47:G47"/>
    <mergeCell ref="E48:G48"/>
    <mergeCell ref="E49:G49"/>
    <mergeCell ref="E50:G50"/>
    <mergeCell ref="E51:G51"/>
    <mergeCell ref="N53:Q53"/>
    <mergeCell ref="E52:G52"/>
    <mergeCell ref="N45:Q45"/>
    <mergeCell ref="N46:Q46"/>
    <mergeCell ref="N47:Q47"/>
    <mergeCell ref="B2:R2"/>
    <mergeCell ref="B11:R11"/>
    <mergeCell ref="B16:R16"/>
    <mergeCell ref="N51:Q51"/>
    <mergeCell ref="N52:Q52"/>
    <mergeCell ref="B24:R24"/>
    <mergeCell ref="N40:Q41"/>
    <mergeCell ref="N42:Q42"/>
    <mergeCell ref="C28:C29"/>
    <mergeCell ref="H28:K28"/>
    <mergeCell ref="L28:Q28"/>
    <mergeCell ref="D28:D29"/>
    <mergeCell ref="F28:F29"/>
    <mergeCell ref="E28:E29"/>
    <mergeCell ref="E40:G40"/>
    <mergeCell ref="G28:G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1C15-686A-4304-ADE2-EB0CB5A8AA67}">
  <sheetPr codeName="Sheet2">
    <tabColor theme="6"/>
  </sheetPr>
  <dimension ref="B1:V23"/>
  <sheetViews>
    <sheetView showGridLines="0" zoomScale="115" zoomScaleNormal="115" workbookViewId="0">
      <selection activeCell="A6" sqref="A6"/>
    </sheetView>
  </sheetViews>
  <sheetFormatPr defaultRowHeight="15.75" x14ac:dyDescent="0.25"/>
  <cols>
    <col min="1" max="1" width="2.75" customWidth="1"/>
    <col min="2" max="2" width="1.75" customWidth="1"/>
    <col min="3" max="4" width="10.125" customWidth="1"/>
    <col min="5" max="5" width="4.125" customWidth="1"/>
    <col min="7" max="7" width="8.25" customWidth="1"/>
    <col min="8" max="8" width="3.625" customWidth="1"/>
    <col min="9" max="9" width="8.25" customWidth="1"/>
    <col min="11" max="11" width="4.375" customWidth="1"/>
    <col min="12" max="12" width="10.125" customWidth="1"/>
    <col min="13" max="13" width="8.875" customWidth="1"/>
    <col min="14" max="14" width="1.875" customWidth="1"/>
    <col min="15" max="16" width="3.125" customWidth="1"/>
    <col min="17" max="18" width="8.75" customWidth="1"/>
    <col min="19" max="19" width="5.25" customWidth="1"/>
    <col min="20" max="21" width="9" customWidth="1"/>
    <col min="22" max="22" width="3.25" customWidth="1"/>
  </cols>
  <sheetData>
    <row r="1" spans="2:22" ht="13.15" customHeight="1" thickBot="1" x14ac:dyDescent="0.3"/>
    <row r="2" spans="2:22" ht="23.25" thickTop="1" x14ac:dyDescent="0.3">
      <c r="B2" s="303" t="s">
        <v>335</v>
      </c>
      <c r="C2" s="304"/>
      <c r="D2" s="304"/>
      <c r="E2" s="304"/>
      <c r="F2" s="304"/>
      <c r="G2" s="304"/>
      <c r="H2" s="304"/>
      <c r="I2" s="304"/>
      <c r="J2" s="304"/>
      <c r="K2" s="304"/>
      <c r="L2" s="304"/>
      <c r="M2" s="304"/>
      <c r="N2" s="305"/>
      <c r="P2" s="306" t="s">
        <v>336</v>
      </c>
      <c r="Q2" s="307"/>
      <c r="R2" s="307"/>
      <c r="S2" s="307"/>
      <c r="T2" s="307"/>
      <c r="U2" s="307"/>
      <c r="V2" s="308"/>
    </row>
    <row r="3" spans="2:22" ht="13.15" customHeight="1" thickBot="1" x14ac:dyDescent="0.3">
      <c r="B3" s="207"/>
      <c r="C3" s="208"/>
      <c r="D3" s="208"/>
      <c r="E3" s="208"/>
      <c r="F3" s="208"/>
      <c r="G3" s="208"/>
      <c r="H3" s="208"/>
      <c r="I3" s="208"/>
      <c r="J3" s="208"/>
      <c r="K3" s="208"/>
      <c r="L3" s="208"/>
      <c r="M3" s="208"/>
      <c r="N3" s="209"/>
      <c r="P3" s="247"/>
      <c r="Q3" s="208"/>
      <c r="R3" s="208"/>
      <c r="S3" s="208"/>
      <c r="T3" s="208"/>
      <c r="U3" s="208"/>
      <c r="V3" s="248"/>
    </row>
    <row r="4" spans="2:22" ht="32.25" customHeight="1" thickBot="1" x14ac:dyDescent="0.3">
      <c r="B4" s="207"/>
      <c r="C4" s="287" t="str">
        <f>"Tổng số tiền đã đóng cho BHXH trong năm " &amp; 'III.Report năm'!F5</f>
        <v>Tổng số tiền đã đóng cho BHXH trong năm 2020</v>
      </c>
      <c r="D4" s="288"/>
      <c r="E4" s="288"/>
      <c r="F4" s="288"/>
      <c r="G4" s="289"/>
      <c r="I4" s="296" t="s">
        <v>286</v>
      </c>
      <c r="J4" s="297"/>
      <c r="K4" s="297"/>
      <c r="L4" s="298"/>
      <c r="M4" s="254">
        <f>COUNTIF('II.Theo dõi sổ thẻ'!G:G,"Công ty lưu")</f>
        <v>2</v>
      </c>
      <c r="N4" s="209"/>
      <c r="P4" s="247"/>
      <c r="Q4" s="299" t="s">
        <v>38</v>
      </c>
      <c r="R4" s="300"/>
      <c r="T4" s="299" t="s">
        <v>40</v>
      </c>
      <c r="U4" s="300"/>
      <c r="V4" s="248"/>
    </row>
    <row r="5" spans="2:22" ht="9" customHeight="1" thickBot="1" x14ac:dyDescent="0.3">
      <c r="B5" s="207"/>
      <c r="C5" s="290">
        <f>SUM('DB''s Data'!B4:M4)</f>
        <v>11082500</v>
      </c>
      <c r="D5" s="291"/>
      <c r="E5" s="291"/>
      <c r="F5" s="291"/>
      <c r="G5" s="292"/>
      <c r="N5" s="209"/>
      <c r="P5" s="247"/>
      <c r="Q5" s="272">
        <f>COUNTIF('II.Theo dõi sổ thẻ'!G:G,Q4)</f>
        <v>2</v>
      </c>
      <c r="R5" s="273"/>
      <c r="T5" s="272">
        <f>COUNTIF('II.Theo dõi sổ thẻ'!G:G,T4)</f>
        <v>1</v>
      </c>
      <c r="U5" s="273"/>
      <c r="V5" s="248"/>
    </row>
    <row r="6" spans="2:22" ht="32.25" customHeight="1" thickBot="1" x14ac:dyDescent="0.3">
      <c r="B6" s="207"/>
      <c r="C6" s="290"/>
      <c r="D6" s="291"/>
      <c r="E6" s="291"/>
      <c r="F6" s="291"/>
      <c r="G6" s="292"/>
      <c r="H6" s="208"/>
      <c r="I6" s="296" t="s">
        <v>285</v>
      </c>
      <c r="J6" s="297"/>
      <c r="K6" s="297"/>
      <c r="L6" s="298"/>
      <c r="M6" s="254">
        <f ca="1">COUNTA('III.Report năm'!D12:D22)-COUNTBLANK('III.Report năm'!D12:D22)</f>
        <v>2</v>
      </c>
      <c r="N6" s="209"/>
      <c r="P6" s="247"/>
      <c r="Q6" s="274"/>
      <c r="R6" s="275"/>
      <c r="T6" s="274"/>
      <c r="U6" s="275"/>
      <c r="V6" s="248"/>
    </row>
    <row r="7" spans="2:22" ht="9" customHeight="1" thickBot="1" x14ac:dyDescent="0.3">
      <c r="B7" s="207"/>
      <c r="C7" s="290"/>
      <c r="D7" s="291"/>
      <c r="E7" s="291"/>
      <c r="F7" s="291"/>
      <c r="G7" s="292"/>
      <c r="N7" s="209"/>
      <c r="P7" s="247"/>
      <c r="V7" s="248"/>
    </row>
    <row r="8" spans="2:22" s="242" customFormat="1" ht="32.25" customHeight="1" thickBot="1" x14ac:dyDescent="0.55000000000000004">
      <c r="B8" s="240"/>
      <c r="C8" s="293"/>
      <c r="D8" s="294"/>
      <c r="E8" s="294"/>
      <c r="F8" s="294"/>
      <c r="G8" s="295"/>
      <c r="I8" s="296" t="s">
        <v>323</v>
      </c>
      <c r="J8" s="297"/>
      <c r="K8" s="297"/>
      <c r="L8" s="298"/>
      <c r="M8" s="254" cm="1">
        <f t="array" aca="1" ref="M8" ca="1">SUMPRODUCT((INDIRECT(I.QTBH!$G$6)="ON")*(INDIRECT(I.QTBH!$M$6)="Thai sản không lương"))</f>
        <v>1</v>
      </c>
      <c r="N8" s="241"/>
      <c r="P8" s="247"/>
      <c r="Q8" s="299" t="s">
        <v>39</v>
      </c>
      <c r="R8" s="300"/>
      <c r="S8"/>
      <c r="T8" s="301" t="s">
        <v>37</v>
      </c>
      <c r="U8" s="302"/>
      <c r="V8" s="248"/>
    </row>
    <row r="9" spans="2:22" ht="11.25" customHeight="1" thickTop="1" x14ac:dyDescent="0.25">
      <c r="B9" s="207"/>
      <c r="C9" s="210"/>
      <c r="D9" s="210"/>
      <c r="E9" s="208"/>
      <c r="F9" s="208"/>
      <c r="G9" s="208"/>
      <c r="H9" s="208"/>
      <c r="I9" s="208"/>
      <c r="J9" s="208"/>
      <c r="K9" s="208"/>
      <c r="L9" s="208"/>
      <c r="M9" s="208"/>
      <c r="N9" s="209"/>
      <c r="P9" s="247"/>
      <c r="Q9" s="272">
        <f>COUNTIF('II.Theo dõi sổ thẻ'!G:G,Q8)</f>
        <v>0</v>
      </c>
      <c r="R9" s="273"/>
      <c r="T9" s="276">
        <f>COUNTIF('II.Theo dõi sổ thẻ'!G:G,T8)</f>
        <v>0</v>
      </c>
      <c r="U9" s="277"/>
      <c r="V9" s="248"/>
    </row>
    <row r="10" spans="2:22" ht="27.75" customHeight="1" thickBot="1" x14ac:dyDescent="0.3">
      <c r="B10" s="207"/>
      <c r="C10" s="309"/>
      <c r="D10" s="309"/>
      <c r="E10" s="309"/>
      <c r="F10" s="309"/>
      <c r="G10" s="309"/>
      <c r="H10" s="309"/>
      <c r="I10" s="309"/>
      <c r="J10" s="309"/>
      <c r="K10" s="309"/>
      <c r="L10" s="309"/>
      <c r="M10" s="309"/>
      <c r="N10" s="209"/>
      <c r="P10" s="247"/>
      <c r="Q10" s="274"/>
      <c r="R10" s="275"/>
      <c r="T10" s="274"/>
      <c r="U10" s="275"/>
      <c r="V10" s="248"/>
    </row>
    <row r="11" spans="2:22" ht="15.75" customHeight="1" thickBot="1" x14ac:dyDescent="0.3">
      <c r="B11" s="207"/>
      <c r="C11" s="223"/>
      <c r="D11" s="223"/>
      <c r="E11" s="223"/>
      <c r="F11" s="223"/>
      <c r="G11" s="223"/>
      <c r="H11" s="223"/>
      <c r="I11" s="223"/>
      <c r="J11" s="223"/>
      <c r="K11" s="223"/>
      <c r="L11" s="223"/>
      <c r="M11" s="223"/>
      <c r="N11" s="209"/>
      <c r="P11" s="249"/>
      <c r="Q11" s="250"/>
      <c r="R11" s="250"/>
      <c r="S11" s="250"/>
      <c r="T11" s="250"/>
      <c r="U11" s="250"/>
      <c r="V11" s="251"/>
    </row>
    <row r="12" spans="2:22" ht="15.75" customHeight="1" thickTop="1" thickBot="1" x14ac:dyDescent="0.3">
      <c r="B12" s="207"/>
      <c r="C12" s="223"/>
      <c r="D12" s="223"/>
      <c r="E12" s="223"/>
      <c r="F12" s="223"/>
      <c r="G12" s="223"/>
      <c r="H12" s="223"/>
      <c r="I12" s="223"/>
      <c r="J12" s="223"/>
      <c r="K12" s="223"/>
      <c r="L12" s="223"/>
      <c r="M12" s="223"/>
      <c r="N12" s="209"/>
    </row>
    <row r="13" spans="2:22" ht="15.75" customHeight="1" thickTop="1" x14ac:dyDescent="0.25">
      <c r="B13" s="207"/>
      <c r="C13" s="223"/>
      <c r="D13" s="223"/>
      <c r="E13" s="223"/>
      <c r="F13" s="223"/>
      <c r="G13" s="223"/>
      <c r="H13" s="223"/>
      <c r="I13" s="223"/>
      <c r="J13" s="223"/>
      <c r="K13" s="223"/>
      <c r="L13" s="223"/>
      <c r="M13" s="223"/>
      <c r="N13" s="209"/>
      <c r="P13" s="278" t="s">
        <v>337</v>
      </c>
      <c r="Q13" s="279"/>
      <c r="R13" s="279"/>
      <c r="S13" s="279"/>
      <c r="T13" s="279"/>
      <c r="U13" s="279"/>
      <c r="V13" s="280"/>
    </row>
    <row r="14" spans="2:22" ht="15.75" customHeight="1" x14ac:dyDescent="0.25">
      <c r="B14" s="207"/>
      <c r="C14" s="223"/>
      <c r="D14" s="223"/>
      <c r="E14" s="223"/>
      <c r="F14" s="223"/>
      <c r="G14" s="223"/>
      <c r="H14" s="223"/>
      <c r="I14" s="223"/>
      <c r="J14" s="223"/>
      <c r="K14" s="223"/>
      <c r="L14" s="223"/>
      <c r="M14" s="223"/>
      <c r="N14" s="209"/>
      <c r="P14" s="281"/>
      <c r="Q14" s="282"/>
      <c r="R14" s="282"/>
      <c r="S14" s="282"/>
      <c r="T14" s="282"/>
      <c r="U14" s="282"/>
      <c r="V14" s="283"/>
    </row>
    <row r="15" spans="2:22" ht="15.75" customHeight="1" x14ac:dyDescent="0.25">
      <c r="B15" s="207"/>
      <c r="C15" s="223"/>
      <c r="D15" s="223"/>
      <c r="E15" s="223"/>
      <c r="F15" s="223"/>
      <c r="G15" s="223"/>
      <c r="H15" s="223"/>
      <c r="I15" s="223"/>
      <c r="J15" s="223"/>
      <c r="K15" s="223"/>
      <c r="L15" s="223"/>
      <c r="M15" s="223"/>
      <c r="N15" s="209"/>
      <c r="P15" s="281"/>
      <c r="Q15" s="282"/>
      <c r="R15" s="282"/>
      <c r="S15" s="282"/>
      <c r="T15" s="282"/>
      <c r="U15" s="282"/>
      <c r="V15" s="283"/>
    </row>
    <row r="16" spans="2:22" ht="52.5" customHeight="1" x14ac:dyDescent="0.25">
      <c r="B16" s="207"/>
      <c r="C16" s="223"/>
      <c r="D16" s="223"/>
      <c r="E16" s="223"/>
      <c r="F16" s="223"/>
      <c r="G16" s="223"/>
      <c r="H16" s="223"/>
      <c r="I16" s="223"/>
      <c r="J16" s="223"/>
      <c r="K16" s="223"/>
      <c r="L16" s="223"/>
      <c r="M16" s="223"/>
      <c r="N16" s="209"/>
      <c r="P16" s="281"/>
      <c r="Q16" s="282"/>
      <c r="R16" s="282"/>
      <c r="S16" s="282"/>
      <c r="T16" s="282"/>
      <c r="U16" s="282"/>
      <c r="V16" s="283"/>
    </row>
    <row r="17" spans="2:22" ht="11.25" customHeight="1" thickBot="1" x14ac:dyDescent="0.3">
      <c r="B17" s="211"/>
      <c r="C17" s="212"/>
      <c r="D17" s="212"/>
      <c r="E17" s="213"/>
      <c r="F17" s="213"/>
      <c r="G17" s="213"/>
      <c r="H17" s="213"/>
      <c r="I17" s="213"/>
      <c r="J17" s="213"/>
      <c r="K17" s="213"/>
      <c r="L17" s="213"/>
      <c r="M17" s="213"/>
      <c r="N17" s="214"/>
      <c r="P17" s="284"/>
      <c r="Q17" s="285"/>
      <c r="R17" s="285"/>
      <c r="S17" s="285"/>
      <c r="T17" s="285"/>
      <c r="U17" s="285"/>
      <c r="V17" s="286"/>
    </row>
    <row r="18" spans="2:22" ht="9" customHeight="1" thickTop="1" x14ac:dyDescent="0.25">
      <c r="C18" s="113"/>
      <c r="D18" s="113"/>
    </row>
    <row r="20" spans="2:22" ht="9.75" customHeight="1" x14ac:dyDescent="0.25"/>
    <row r="21" spans="2:22" ht="23.25" customHeight="1" x14ac:dyDescent="0.25">
      <c r="Q21" s="17"/>
    </row>
    <row r="23" spans="2:22" ht="9.75" customHeight="1" x14ac:dyDescent="0.25"/>
  </sheetData>
  <mergeCells count="17">
    <mergeCell ref="C10:M10"/>
    <mergeCell ref="Q4:R4"/>
    <mergeCell ref="T4:U4"/>
    <mergeCell ref="Q8:R8"/>
    <mergeCell ref="T8:U8"/>
    <mergeCell ref="B2:N2"/>
    <mergeCell ref="P2:V2"/>
    <mergeCell ref="C4:G4"/>
    <mergeCell ref="C5:G8"/>
    <mergeCell ref="I4:L4"/>
    <mergeCell ref="I6:L6"/>
    <mergeCell ref="I8:L8"/>
    <mergeCell ref="Q5:R6"/>
    <mergeCell ref="T5:U6"/>
    <mergeCell ref="Q9:R10"/>
    <mergeCell ref="T9:U10"/>
    <mergeCell ref="P13:V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C769-A4A6-4000-A4C4-269738FFE171}">
  <sheetPr>
    <tabColor theme="6"/>
  </sheetPr>
  <dimension ref="A2:M4"/>
  <sheetViews>
    <sheetView workbookViewId="0">
      <selection activeCell="F4" sqref="F4"/>
    </sheetView>
  </sheetViews>
  <sheetFormatPr defaultRowHeight="15.75" x14ac:dyDescent="0.25"/>
  <cols>
    <col min="2" max="3" width="13" bestFit="1" customWidth="1"/>
    <col min="4" max="13" width="10" bestFit="1" customWidth="1"/>
  </cols>
  <sheetData>
    <row r="2" spans="1:13" x14ac:dyDescent="0.25">
      <c r="A2" s="53" t="s">
        <v>315</v>
      </c>
    </row>
    <row r="3" spans="1:13" x14ac:dyDescent="0.25">
      <c r="A3" s="245" t="s">
        <v>313</v>
      </c>
      <c r="B3" s="244">
        <f>'III.Report năm'!H10</f>
        <v>43831</v>
      </c>
      <c r="C3" s="244">
        <f>'III.Report năm'!I10</f>
        <v>43862</v>
      </c>
      <c r="D3" s="244">
        <f>'III.Report năm'!J10</f>
        <v>43891</v>
      </c>
      <c r="E3" s="244">
        <f>'III.Report năm'!K10</f>
        <v>43922</v>
      </c>
      <c r="F3" s="244">
        <f>'III.Report năm'!L10</f>
        <v>43952</v>
      </c>
      <c r="G3" s="244">
        <f>'III.Report năm'!M10</f>
        <v>43983</v>
      </c>
      <c r="H3" s="244">
        <f>'III.Report năm'!N10</f>
        <v>44013</v>
      </c>
      <c r="I3" s="244">
        <f>'III.Report năm'!O10</f>
        <v>44044</v>
      </c>
      <c r="J3" s="244">
        <f>'III.Report năm'!P10</f>
        <v>44075</v>
      </c>
      <c r="K3" s="244">
        <f>'III.Report năm'!Q10</f>
        <v>44105</v>
      </c>
      <c r="L3" s="244">
        <f>'III.Report năm'!R10</f>
        <v>44136</v>
      </c>
      <c r="M3" s="244">
        <f>'III.Report năm'!S10</f>
        <v>44166</v>
      </c>
    </row>
    <row r="4" spans="1:13" x14ac:dyDescent="0.25">
      <c r="A4" s="245" t="s">
        <v>314</v>
      </c>
      <c r="B4" s="246">
        <f>'III.Report năm'!G64</f>
        <v>2240000</v>
      </c>
      <c r="C4" s="246">
        <f>'III.Report năm'!H64</f>
        <v>8842500</v>
      </c>
      <c r="D4" s="246">
        <f>'III.Report năm'!I64</f>
        <v>0</v>
      </c>
      <c r="E4" s="246">
        <f>'III.Report năm'!J64</f>
        <v>0</v>
      </c>
      <c r="F4" s="246">
        <f>'III.Report năm'!K64</f>
        <v>0</v>
      </c>
      <c r="G4" s="246">
        <f>'III.Report năm'!L64</f>
        <v>0</v>
      </c>
      <c r="H4" s="246">
        <f>'III.Report năm'!M64</f>
        <v>0</v>
      </c>
      <c r="I4" s="246">
        <f>'III.Report năm'!N64</f>
        <v>0</v>
      </c>
      <c r="J4" s="246">
        <f>'III.Report năm'!O64</f>
        <v>0</v>
      </c>
      <c r="K4" s="246">
        <f>'III.Report năm'!P64</f>
        <v>0</v>
      </c>
      <c r="L4" s="246">
        <f>'III.Report năm'!Q64</f>
        <v>0</v>
      </c>
      <c r="M4" s="246">
        <f>'III.Report năm'!R64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pageSetUpPr fitToPage="1"/>
  </sheetPr>
  <dimension ref="B1:Y76"/>
  <sheetViews>
    <sheetView showGridLines="0" zoomScale="85" zoomScaleNormal="85" workbookViewId="0">
      <selection activeCell="I7" sqref="I7"/>
    </sheetView>
  </sheetViews>
  <sheetFormatPr defaultColWidth="9" defaultRowHeight="12.75" x14ac:dyDescent="0.25"/>
  <cols>
    <col min="1" max="1" width="1.875" style="1" customWidth="1"/>
    <col min="2" max="2" width="2.25" style="1" customWidth="1"/>
    <col min="3" max="3" width="5.75" style="1" customWidth="1"/>
    <col min="4" max="4" width="9.5" style="3" customWidth="1"/>
    <col min="5" max="5" width="18" style="3" customWidth="1"/>
    <col min="6" max="6" width="13.625" style="5" customWidth="1"/>
    <col min="7" max="19" width="10.25" style="1" customWidth="1"/>
    <col min="20" max="20" width="12" style="8" bestFit="1" customWidth="1"/>
    <col min="21" max="21" width="12.125" style="29" customWidth="1"/>
    <col min="22" max="22" width="2.75" style="1" customWidth="1"/>
    <col min="23" max="23" width="19.25" style="1" bestFit="1" customWidth="1"/>
    <col min="24" max="24" width="19.125" style="1" customWidth="1"/>
    <col min="25" max="25" width="12.25" style="1" customWidth="1"/>
    <col min="26" max="16384" width="9" style="1"/>
  </cols>
  <sheetData>
    <row r="1" spans="2:22" ht="13.5" thickBot="1" x14ac:dyDescent="0.3"/>
    <row r="2" spans="2:22" ht="35.25" thickTop="1" x14ac:dyDescent="0.25">
      <c r="B2" s="328" t="str">
        <f>"MỨC ĐÓNG BHXH NĂM " &amp;F5</f>
        <v>MỨC ĐÓNG BHXH NĂM 2020</v>
      </c>
      <c r="C2" s="329"/>
      <c r="D2" s="329"/>
      <c r="E2" s="329"/>
      <c r="F2" s="329"/>
      <c r="G2" s="329"/>
      <c r="H2" s="329"/>
      <c r="I2" s="329"/>
      <c r="J2" s="329"/>
      <c r="K2" s="329"/>
      <c r="L2" s="329"/>
      <c r="M2" s="329"/>
      <c r="N2" s="329"/>
      <c r="O2" s="329"/>
      <c r="P2" s="329"/>
      <c r="Q2" s="329"/>
      <c r="R2" s="329"/>
      <c r="S2" s="329"/>
      <c r="T2" s="329"/>
      <c r="U2" s="329"/>
      <c r="V2" s="330"/>
    </row>
    <row r="3" spans="2:22" ht="15.75" customHeight="1" thickBot="1" x14ac:dyDescent="0.3">
      <c r="B3" s="160"/>
      <c r="C3" s="161"/>
      <c r="D3" s="161"/>
      <c r="E3" s="161"/>
      <c r="F3" s="161"/>
      <c r="G3" s="162"/>
      <c r="H3" s="162"/>
      <c r="I3" s="162"/>
      <c r="J3" s="162"/>
      <c r="K3" s="162"/>
      <c r="L3" s="162"/>
      <c r="M3" s="162"/>
      <c r="N3" s="162"/>
      <c r="O3" s="162"/>
      <c r="P3" s="162"/>
      <c r="Q3" s="162"/>
      <c r="R3" s="162"/>
      <c r="S3" s="162"/>
      <c r="T3" s="163"/>
      <c r="U3" s="164"/>
      <c r="V3" s="165"/>
    </row>
    <row r="4" spans="2:22" s="23" customFormat="1" ht="20.25" thickTop="1" thickBot="1" x14ac:dyDescent="0.3">
      <c r="B4" s="166"/>
      <c r="C4" s="310" t="s">
        <v>19</v>
      </c>
      <c r="D4" s="310"/>
      <c r="E4" s="161"/>
      <c r="F4" s="199" t="s">
        <v>140</v>
      </c>
      <c r="G4" s="323" t="s">
        <v>338</v>
      </c>
      <c r="H4" s="337" t="s">
        <v>237</v>
      </c>
      <c r="I4" s="338"/>
      <c r="J4" s="167"/>
      <c r="K4" s="167"/>
      <c r="L4" s="167"/>
      <c r="M4" s="167"/>
      <c r="N4" s="167"/>
      <c r="O4" s="168"/>
      <c r="P4" s="167"/>
      <c r="Q4" s="167"/>
      <c r="R4" s="167"/>
      <c r="S4" s="167"/>
      <c r="T4" s="169"/>
      <c r="U4" s="170"/>
      <c r="V4" s="171"/>
    </row>
    <row r="5" spans="2:22" s="29" customFormat="1" ht="20.25" thickTop="1" thickBot="1" x14ac:dyDescent="0.3">
      <c r="B5" s="172"/>
      <c r="C5" s="310"/>
      <c r="D5" s="310"/>
      <c r="E5" s="161"/>
      <c r="F5" s="200">
        <v>2020</v>
      </c>
      <c r="G5" s="324"/>
      <c r="H5" s="339">
        <v>43891</v>
      </c>
      <c r="I5" s="340"/>
      <c r="J5" s="164"/>
      <c r="K5" s="164"/>
      <c r="L5" s="164"/>
      <c r="M5" s="164"/>
      <c r="N5" s="164"/>
      <c r="O5" s="164"/>
      <c r="P5" s="164"/>
      <c r="Q5" s="164"/>
      <c r="R5" s="164"/>
      <c r="S5" s="164"/>
      <c r="T5" s="173"/>
      <c r="U5" s="164"/>
      <c r="V5" s="174"/>
    </row>
    <row r="6" spans="2:22" ht="16.5" thickTop="1" x14ac:dyDescent="0.25">
      <c r="B6" s="160"/>
      <c r="C6" s="42"/>
      <c r="D6" s="198" t="s">
        <v>284</v>
      </c>
      <c r="E6" s="161"/>
      <c r="H6" s="162"/>
      <c r="I6" s="162"/>
      <c r="J6" s="162"/>
      <c r="K6" s="162"/>
      <c r="L6" s="162"/>
      <c r="M6" s="162"/>
      <c r="N6" s="162"/>
      <c r="O6" s="162"/>
      <c r="P6" s="162"/>
      <c r="Q6" s="162"/>
      <c r="R6" s="162"/>
      <c r="S6" s="162"/>
      <c r="T6" s="163"/>
      <c r="U6" s="164"/>
      <c r="V6" s="165"/>
    </row>
    <row r="7" spans="2:22" x14ac:dyDescent="0.25">
      <c r="B7" s="160"/>
      <c r="C7" s="175"/>
      <c r="D7" s="175"/>
      <c r="E7" s="161"/>
      <c r="H7" s="162"/>
      <c r="I7" s="162"/>
      <c r="J7" s="175"/>
      <c r="K7" s="162"/>
      <c r="L7" s="162"/>
      <c r="M7" s="162"/>
      <c r="N7" s="162"/>
      <c r="O7" s="162"/>
      <c r="P7" s="162"/>
      <c r="Q7" s="162"/>
      <c r="R7" s="162"/>
      <c r="S7" s="162"/>
      <c r="T7" s="163"/>
      <c r="U7" s="164"/>
      <c r="V7" s="165"/>
    </row>
    <row r="8" spans="2:22" ht="15.75" x14ac:dyDescent="0.25">
      <c r="B8" s="160"/>
      <c r="C8" s="33"/>
      <c r="D8" s="198" t="s">
        <v>7</v>
      </c>
      <c r="E8" s="161"/>
      <c r="F8" s="161"/>
      <c r="G8" s="161"/>
      <c r="H8" s="162"/>
      <c r="I8" s="175"/>
      <c r="J8" s="162"/>
      <c r="K8" s="162"/>
      <c r="L8" s="162"/>
      <c r="M8" s="162"/>
      <c r="N8" s="162"/>
      <c r="O8" s="162"/>
      <c r="P8" s="162"/>
      <c r="Q8" s="162"/>
      <c r="R8" s="162"/>
      <c r="S8" s="162"/>
      <c r="T8" s="163"/>
      <c r="U8" s="164"/>
      <c r="V8" s="165"/>
    </row>
    <row r="9" spans="2:22" s="2" customFormat="1" ht="22.5" customHeight="1" x14ac:dyDescent="0.25">
      <c r="B9" s="176"/>
      <c r="C9" s="175"/>
      <c r="D9" s="177"/>
      <c r="E9" s="177"/>
      <c r="F9" s="178"/>
      <c r="G9" s="175"/>
      <c r="H9" s="175"/>
      <c r="I9" s="175"/>
      <c r="J9" s="175"/>
      <c r="K9" s="175"/>
      <c r="L9" s="175"/>
      <c r="M9" s="175"/>
      <c r="N9" s="175"/>
      <c r="O9" s="175"/>
      <c r="P9" s="175"/>
      <c r="Q9" s="175"/>
      <c r="R9" s="175"/>
      <c r="S9" s="175"/>
      <c r="T9" s="179"/>
      <c r="U9" s="180"/>
      <c r="V9" s="181"/>
    </row>
    <row r="10" spans="2:22" s="4" customFormat="1" ht="15" customHeight="1" x14ac:dyDescent="0.25">
      <c r="B10" s="182"/>
      <c r="C10" s="201" t="s">
        <v>6</v>
      </c>
      <c r="D10" s="201" t="s">
        <v>5</v>
      </c>
      <c r="E10" s="201" t="s">
        <v>0</v>
      </c>
      <c r="F10" s="201" t="s">
        <v>20</v>
      </c>
      <c r="G10" s="202">
        <f>DATE($F$5-1,12,1)</f>
        <v>43800</v>
      </c>
      <c r="H10" s="202">
        <f>DATE($F$5,1,1)</f>
        <v>43831</v>
      </c>
      <c r="I10" s="202">
        <f>DATE($F$5,2,1)</f>
        <v>43862</v>
      </c>
      <c r="J10" s="202">
        <f>DATE($F$5,3,1)</f>
        <v>43891</v>
      </c>
      <c r="K10" s="202">
        <f>DATE($F$5,4,1)</f>
        <v>43922</v>
      </c>
      <c r="L10" s="202">
        <f>DATE($F$5,5,1)</f>
        <v>43952</v>
      </c>
      <c r="M10" s="202">
        <f>DATE($F$5,6,1)</f>
        <v>43983</v>
      </c>
      <c r="N10" s="202">
        <f>DATE($F$5,7,1)</f>
        <v>44013</v>
      </c>
      <c r="O10" s="202">
        <f>DATE($F$5,8,1)</f>
        <v>44044</v>
      </c>
      <c r="P10" s="202">
        <f>DATE($F$5,9,1)</f>
        <v>44075</v>
      </c>
      <c r="Q10" s="202">
        <f>DATE($F$5,10,1)</f>
        <v>44105</v>
      </c>
      <c r="R10" s="202">
        <f>DATE($F$5,11,1)</f>
        <v>44136</v>
      </c>
      <c r="S10" s="202">
        <f>DATE($F$5,12,1)</f>
        <v>44166</v>
      </c>
      <c r="T10" s="203" t="s">
        <v>14</v>
      </c>
      <c r="U10" s="204" t="s">
        <v>300</v>
      </c>
      <c r="V10" s="183"/>
    </row>
    <row r="11" spans="2:22" s="4" customFormat="1" ht="19.5" customHeight="1" x14ac:dyDescent="0.25">
      <c r="B11" s="182"/>
      <c r="C11" s="317" t="s">
        <v>23</v>
      </c>
      <c r="D11" s="318"/>
      <c r="E11" s="318"/>
      <c r="F11" s="318"/>
      <c r="G11" s="318"/>
      <c r="H11" s="318"/>
      <c r="I11" s="318"/>
      <c r="J11" s="318"/>
      <c r="K11" s="318"/>
      <c r="L11" s="318"/>
      <c r="M11" s="318"/>
      <c r="N11" s="318"/>
      <c r="O11" s="318"/>
      <c r="P11" s="318"/>
      <c r="Q11" s="318"/>
      <c r="R11" s="318"/>
      <c r="S11" s="318"/>
      <c r="T11" s="318"/>
      <c r="U11" s="319"/>
      <c r="V11" s="183"/>
    </row>
    <row r="12" spans="2:22" s="4" customFormat="1" ht="15" customHeight="1" x14ac:dyDescent="0.25">
      <c r="B12" s="182"/>
      <c r="C12" s="7">
        <f t="shared" ref="C12:C22" si="0">ROW()-ROW($C$11)</f>
        <v>1</v>
      </c>
      <c r="D12" s="34" t="str" cm="1">
        <f t="array" aca="1" ref="D12" ca="1">IFERROR(INDEX(INDIRECT(I.QTBH!$C$6),MATCH(1,
(COUNTIF($D$11:D11,INDIRECT(I.QTBH!$C$6))=0)*
(INDIRECT(I.QTBH!$F$6)&lt;&gt;"OFF")*
(INDIRECT(I.QTBH!$P$6)="Không"),0),1),"")</f>
        <v>NV001</v>
      </c>
      <c r="E12" s="35" t="str">
        <f ca="1">IFERROR(INDEX(I.QTBH!D:D,MATCH(D12,I.QTBH!C:C,0),1),"")</f>
        <v>Nguyễn Thu Thủy</v>
      </c>
      <c r="F12" s="36" t="str">
        <f ca="1">IFERROR(INDEX(I.QTBH!B:B,MATCH(D12,I.QTBH!C:C,0),1),"")</f>
        <v>Phòng HCNS</v>
      </c>
      <c r="G12" s="19">
        <f ca="1">IF(SUMIFS(I.QTBH!AZ:AZ,I.QTBH!$C:$C,$D12)&gt;1,SUMIFS(I.QTBH!Z:Z,I.QTBH!$C:$C,$D12),
IF(SUMIFS(I.QTBH!AZ:AZ,I.QTBH!$C:$C,$D12)=1,"TS,KL",""))</f>
        <v>7000000</v>
      </c>
      <c r="H12" s="19">
        <f ca="1">IF(SUMIFS(I.QTBH!BA:BA,I.QTBH!$C:$C,$D12)&gt;1,SUMIFS(I.QTBH!AA:AA,I.QTBH!$C:$C,$D12),
IF(SUMIFS(I.QTBH!BA:BA,I.QTBH!$C:$C,$D12)=1,"TS,KL",""))</f>
        <v>7000000</v>
      </c>
      <c r="I12" s="19">
        <f ca="1">IF(SUMIFS(I.QTBH!BB:BB,I.QTBH!$C:$C,$D12)&gt;1,SUMIFS(I.QTBH!AB:AB,I.QTBH!$C:$C,$D12),
IF(SUMIFS(I.QTBH!BB:BB,I.QTBH!$C:$C,$D12)=1,"TS,KL",""))</f>
        <v>7000000</v>
      </c>
      <c r="J12" s="19">
        <f ca="1">IF(SUMIFS(I.QTBH!BC:BC,I.QTBH!$C:$C,$D12)&gt;1,SUMIFS(I.QTBH!AC:AC,I.QTBH!$C:$C,$D12),
IF(SUMIFS(I.QTBH!BC:BC,I.QTBH!$C:$C,$D12)=1,"TS,KL",""))</f>
        <v>9000000</v>
      </c>
      <c r="K12" s="19">
        <f ca="1">IF(SUMIFS(I.QTBH!BD:BD,I.QTBH!$C:$C,$D12)&gt;1,SUMIFS(I.QTBH!AD:AD,I.QTBH!$C:$C,$D12),
IF(SUMIFS(I.QTBH!BD:BD,I.QTBH!$C:$C,$D12)=1,"TS,KL",""))</f>
        <v>9000000</v>
      </c>
      <c r="L12" s="19" t="str">
        <f ca="1">IF(SUMIFS(I.QTBH!BE:BE,I.QTBH!$C:$C,$D12)&gt;1,SUMIFS(I.QTBH!AE:AE,I.QTBH!$C:$C,$D12),
IF(SUMIFS(I.QTBH!BE:BE,I.QTBH!$C:$C,$D12)=1,"TS,KL",""))</f>
        <v/>
      </c>
      <c r="M12" s="19" t="str">
        <f ca="1">IF(SUMIFS(I.QTBH!BF:BF,I.QTBH!$C:$C,$D12)&gt;1,SUMIFS(I.QTBH!AF:AF,I.QTBH!$C:$C,$D12),
IF(SUMIFS(I.QTBH!BF:BF,I.QTBH!$C:$C,$D12)=1,"TS,KL",""))</f>
        <v/>
      </c>
      <c r="N12" s="19" t="str">
        <f ca="1">IF(SUMIFS(I.QTBH!BG:BG,I.QTBH!$C:$C,$D12)&gt;1,SUMIFS(I.QTBH!AG:AG,I.QTBH!$C:$C,$D12),
IF(SUMIFS(I.QTBH!BG:BG,I.QTBH!$C:$C,$D12)=1,"TS,KL",""))</f>
        <v/>
      </c>
      <c r="O12" s="19" t="str">
        <f ca="1">IF(SUMIFS(I.QTBH!BH:BH,I.QTBH!$C:$C,$D12)&gt;1,SUMIFS(I.QTBH!AH:AH,I.QTBH!$C:$C,$D12),
IF(SUMIFS(I.QTBH!BH:BH,I.QTBH!$C:$C,$D12)=1,"TS,KL",""))</f>
        <v/>
      </c>
      <c r="P12" s="19" t="str">
        <f ca="1">IF(SUMIFS(I.QTBH!BI:BI,I.QTBH!$C:$C,$D12)&gt;1,SUMIFS(I.QTBH!AI:AI,I.QTBH!$C:$C,$D12),
IF(SUMIFS(I.QTBH!BI:BI,I.QTBH!$C:$C,$D12)=1,"TS,KL",""))</f>
        <v/>
      </c>
      <c r="Q12" s="19" t="str">
        <f ca="1">IF(SUMIFS(I.QTBH!BJ:BJ,I.QTBH!$C:$C,$D12)&gt;1,SUMIFS(I.QTBH!AJ:AJ,I.QTBH!$C:$C,$D12),
IF(SUMIFS(I.QTBH!BJ:BJ,I.QTBH!$C:$C,$D12)=1,"TS,KL",""))</f>
        <v/>
      </c>
      <c r="R12" s="19" t="str">
        <f ca="1">IF(SUMIFS(I.QTBH!BK:BK,I.QTBH!$C:$C,$D12)&gt;1,SUMIFS(I.QTBH!AK:AK,I.QTBH!$C:$C,$D12),
IF(SUMIFS(I.QTBH!BK:BK,I.QTBH!$C:$C,$D12)=1,"TS,KL",""))</f>
        <v/>
      </c>
      <c r="S12" s="19" t="str">
        <f ca="1">IF(SUMIFS(I.QTBH!BL:BL,I.QTBH!$C:$C,$D12)&gt;1,SUMIFS(I.QTBH!AL:AL,I.QTBH!$C:$C,$D12),
IF(SUMIFS(I.QTBH!BL:BL,I.QTBH!$C:$C,$D12)=1,"TS,KL",""))</f>
        <v/>
      </c>
      <c r="T12" s="126" t="str">
        <f ca="1">IFERROR(INDEX(I.QTBH!O:O,MATCH($D12,I.QTBH!$C:$C,0),1),"")</f>
        <v>2 bên đóng</v>
      </c>
      <c r="U12" s="234">
        <f ca="1">IFERROR(INDEX($G12:$S12,1,MATCH($H$5,$G$10:$S$10,0))*32%,"")</f>
        <v>2880000</v>
      </c>
      <c r="V12" s="183"/>
    </row>
    <row r="13" spans="2:22" s="4" customFormat="1" ht="15" customHeight="1" x14ac:dyDescent="0.25">
      <c r="B13" s="182"/>
      <c r="C13" s="7">
        <f t="shared" si="0"/>
        <v>2</v>
      </c>
      <c r="D13" s="34" t="str" cm="1">
        <f t="array" aca="1" ref="D13" ca="1">IFERROR(INDEX(INDIRECT(I.QTBH!$C$6),MATCH(1,
(COUNTIF($D$11:D12,INDIRECT(I.QTBH!$C$6))=0)*
(INDIRECT(I.QTBH!$F$6)&lt;&gt;"OFF")*
(INDIRECT(I.QTBH!$P$6)="Không"),0),1),"")</f>
        <v>NV002</v>
      </c>
      <c r="E13" s="35" t="str">
        <f ca="1">IFERROR(INDEX(I.QTBH!D:D,MATCH(D13,I.QTBH!C:C,0),1),"")</f>
        <v>Lâm Văn B</v>
      </c>
      <c r="F13" s="36" t="str">
        <f ca="1">IFERROR(INDEX(I.QTBH!B:B,MATCH(D13,I.QTBH!C:C,0),1),"")</f>
        <v>Phòng Kế toán</v>
      </c>
      <c r="G13" s="19" t="str">
        <f ca="1">IF(SUMIFS(I.QTBH!AZ:AZ,I.QTBH!$C:$C,$D13)&gt;1,SUMIFS(I.QTBH!Z:Z,I.QTBH!$C:$C,$D13),
IF(SUMIFS(I.QTBH!AZ:AZ,I.QTBH!$C:$C,$D13)=1,"TS,KL",""))</f>
        <v/>
      </c>
      <c r="H13" s="19">
        <f ca="1">IF(SUMIFS(I.QTBH!BA:BA,I.QTBH!$C:$C,$D13)&gt;1,SUMIFS(I.QTBH!AA:AA,I.QTBH!$C:$C,$D13),
IF(SUMIFS(I.QTBH!BA:BA,I.QTBH!$C:$C,$D13)=1,"TS,KL",""))</f>
        <v>7000000</v>
      </c>
      <c r="I13" s="19">
        <f ca="1">IF(SUMIFS(I.QTBH!BB:BB,I.QTBH!$C:$C,$D13)&gt;1,SUMIFS(I.QTBH!AB:AB,I.QTBH!$C:$C,$D13),
IF(SUMIFS(I.QTBH!BB:BB,I.QTBH!$C:$C,$D13)=1,"TS,KL",""))</f>
        <v>7000000</v>
      </c>
      <c r="J13" s="19">
        <f ca="1">IF(SUMIFS(I.QTBH!BC:BC,I.QTBH!$C:$C,$D13)&gt;1,SUMIFS(I.QTBH!AC:AC,I.QTBH!$C:$C,$D13),
IF(SUMIFS(I.QTBH!BC:BC,I.QTBH!$C:$C,$D13)=1,"TS,KL",""))</f>
        <v>7000000</v>
      </c>
      <c r="K13" s="19">
        <f ca="1">IF(SUMIFS(I.QTBH!BD:BD,I.QTBH!$C:$C,$D13)&gt;1,SUMIFS(I.QTBH!AD:AD,I.QTBH!$C:$C,$D13),
IF(SUMIFS(I.QTBH!BD:BD,I.QTBH!$C:$C,$D13)=1,"TS,KL",""))</f>
        <v>7000000</v>
      </c>
      <c r="L13" s="19">
        <f ca="1">IF(SUMIFS(I.QTBH!BE:BE,I.QTBH!$C:$C,$D13)&gt;1,SUMIFS(I.QTBH!AE:AE,I.QTBH!$C:$C,$D13),
IF(SUMIFS(I.QTBH!BE:BE,I.QTBH!$C:$C,$D13)=1,"TS,KL",""))</f>
        <v>7000000</v>
      </c>
      <c r="M13" s="19" t="str">
        <f ca="1">IF(SUMIFS(I.QTBH!BF:BF,I.QTBH!$C:$C,$D13)&gt;1,SUMIFS(I.QTBH!AF:AF,I.QTBH!$C:$C,$D13),
IF(SUMIFS(I.QTBH!BF:BF,I.QTBH!$C:$C,$D13)=1,"TS,KL",""))</f>
        <v>TS,KL</v>
      </c>
      <c r="N13" s="19" t="str">
        <f ca="1">IF(SUMIFS(I.QTBH!BG:BG,I.QTBH!$C:$C,$D13)&gt;1,SUMIFS(I.QTBH!AG:AG,I.QTBH!$C:$C,$D13),
IF(SUMIFS(I.QTBH!BG:BG,I.QTBH!$C:$C,$D13)=1,"TS,KL",""))</f>
        <v>TS,KL</v>
      </c>
      <c r="O13" s="19" t="str">
        <f ca="1">IF(SUMIFS(I.QTBH!BH:BH,I.QTBH!$C:$C,$D13)&gt;1,SUMIFS(I.QTBH!AH:AH,I.QTBH!$C:$C,$D13),
IF(SUMIFS(I.QTBH!BH:BH,I.QTBH!$C:$C,$D13)=1,"TS,KL",""))</f>
        <v>TS,KL</v>
      </c>
      <c r="P13" s="19" t="str">
        <f ca="1">IF(SUMIFS(I.QTBH!BI:BI,I.QTBH!$C:$C,$D13)&gt;1,SUMIFS(I.QTBH!AI:AI,I.QTBH!$C:$C,$D13),
IF(SUMIFS(I.QTBH!BI:BI,I.QTBH!$C:$C,$D13)=1,"TS,KL",""))</f>
        <v>TS,KL</v>
      </c>
      <c r="Q13" s="19" t="str">
        <f ca="1">IF(SUMIFS(I.QTBH!BJ:BJ,I.QTBH!$C:$C,$D13)&gt;1,SUMIFS(I.QTBH!AJ:AJ,I.QTBH!$C:$C,$D13),
IF(SUMIFS(I.QTBH!BJ:BJ,I.QTBH!$C:$C,$D13)=1,"TS,KL",""))</f>
        <v>TS,KL</v>
      </c>
      <c r="R13" s="19" t="str">
        <f ca="1">IF(SUMIFS(I.QTBH!BK:BK,I.QTBH!$C:$C,$D13)&gt;1,SUMIFS(I.QTBH!AK:AK,I.QTBH!$C:$C,$D13),
IF(SUMIFS(I.QTBH!BK:BK,I.QTBH!$C:$C,$D13)=1,"TS,KL",""))</f>
        <v>TS,KL</v>
      </c>
      <c r="S13" s="19">
        <f ca="1">IF(SUMIFS(I.QTBH!BL:BL,I.QTBH!$C:$C,$D13)&gt;1,SUMIFS(I.QTBH!AL:AL,I.QTBH!$C:$C,$D13),
IF(SUMIFS(I.QTBH!BL:BL,I.QTBH!$C:$C,$D13)=1,"TS,KL",""))</f>
        <v>8000000</v>
      </c>
      <c r="T13" s="126" t="str">
        <f ca="1">IFERROR(INDEX(I.QTBH!O:O,MATCH($D13,I.QTBH!$C:$C,0),1),"")</f>
        <v>2 bên đóng</v>
      </c>
      <c r="U13" s="234">
        <f t="shared" ref="U13:U22" ca="1" si="1">IFERROR(INDEX($G13:$S13,1,MATCH($H$5,$G$10:$S$10,0))*32%,"")</f>
        <v>2240000</v>
      </c>
      <c r="V13" s="183"/>
    </row>
    <row r="14" spans="2:22" s="4" customFormat="1" ht="15" customHeight="1" x14ac:dyDescent="0.25">
      <c r="B14" s="182"/>
      <c r="C14" s="7">
        <f t="shared" si="0"/>
        <v>3</v>
      </c>
      <c r="D14" s="34" t="str" cm="1">
        <f t="array" aca="1" ref="D14" ca="1">IFERROR(INDEX(INDIRECT(I.QTBH!$C$6),MATCH(1,
(COUNTIF($D$11:D13,INDIRECT(I.QTBH!$C$6))=0)*
(INDIRECT(I.QTBH!$F$6)&lt;&gt;"OFF")*
(INDIRECT(I.QTBH!$P$6)="Không"),0),1),"")</f>
        <v/>
      </c>
      <c r="E14" s="35" t="str">
        <f ca="1">IFERROR(INDEX(I.QTBH!D:D,MATCH(D14,I.QTBH!C:C,0),1),"")</f>
        <v/>
      </c>
      <c r="F14" s="36" t="str">
        <f ca="1">IFERROR(INDEX(I.QTBH!B:B,MATCH(D14,I.QTBH!C:C,0),1),"")</f>
        <v/>
      </c>
      <c r="G14" s="19" t="str">
        <f ca="1">IF(SUMIFS(I.QTBH!AZ:AZ,I.QTBH!$C:$C,$D14)&gt;1,SUMIFS(I.QTBH!Z:Z,I.QTBH!$C:$C,$D14),
IF(SUMIFS(I.QTBH!AZ:AZ,I.QTBH!$C:$C,$D14)=1,"TS,KL",""))</f>
        <v/>
      </c>
      <c r="H14" s="19" t="str">
        <f ca="1">IF(SUMIFS(I.QTBH!BA:BA,I.QTBH!$C:$C,$D14)&gt;1,SUMIFS(I.QTBH!AA:AA,I.QTBH!$C:$C,$D14),
IF(SUMIFS(I.QTBH!BA:BA,I.QTBH!$C:$C,$D14)=1,"TS,KL",""))</f>
        <v/>
      </c>
      <c r="I14" s="19" t="str">
        <f ca="1">IF(SUMIFS(I.QTBH!BB:BB,I.QTBH!$C:$C,$D14)&gt;1,SUMIFS(I.QTBH!AB:AB,I.QTBH!$C:$C,$D14),
IF(SUMIFS(I.QTBH!BB:BB,I.QTBH!$C:$C,$D14)=1,"TS,KL",""))</f>
        <v/>
      </c>
      <c r="J14" s="19" t="str">
        <f ca="1">IF(SUMIFS(I.QTBH!BC:BC,I.QTBH!$C:$C,$D14)&gt;1,SUMIFS(I.QTBH!AC:AC,I.QTBH!$C:$C,$D14),
IF(SUMIFS(I.QTBH!BC:BC,I.QTBH!$C:$C,$D14)=1,"TS,KL",""))</f>
        <v/>
      </c>
      <c r="K14" s="19" t="str">
        <f ca="1">IF(SUMIFS(I.QTBH!BD:BD,I.QTBH!$C:$C,$D14)&gt;1,SUMIFS(I.QTBH!AD:AD,I.QTBH!$C:$C,$D14),
IF(SUMIFS(I.QTBH!BD:BD,I.QTBH!$C:$C,$D14)=1,"TS,KL",""))</f>
        <v/>
      </c>
      <c r="L14" s="19" t="str">
        <f ca="1">IF(SUMIFS(I.QTBH!BE:BE,I.QTBH!$C:$C,$D14)&gt;1,SUMIFS(I.QTBH!AE:AE,I.QTBH!$C:$C,$D14),
IF(SUMIFS(I.QTBH!BE:BE,I.QTBH!$C:$C,$D14)=1,"TS,KL",""))</f>
        <v/>
      </c>
      <c r="M14" s="19" t="str">
        <f ca="1">IF(SUMIFS(I.QTBH!BF:BF,I.QTBH!$C:$C,$D14)&gt;1,SUMIFS(I.QTBH!AF:AF,I.QTBH!$C:$C,$D14),
IF(SUMIFS(I.QTBH!BF:BF,I.QTBH!$C:$C,$D14)=1,"TS,KL",""))</f>
        <v/>
      </c>
      <c r="N14" s="19" t="str">
        <f ca="1">IF(SUMIFS(I.QTBH!BG:BG,I.QTBH!$C:$C,$D14)&gt;1,SUMIFS(I.QTBH!AG:AG,I.QTBH!$C:$C,$D14),
IF(SUMIFS(I.QTBH!BG:BG,I.QTBH!$C:$C,$D14)=1,"TS,KL",""))</f>
        <v/>
      </c>
      <c r="O14" s="19" t="str">
        <f ca="1">IF(SUMIFS(I.QTBH!BH:BH,I.QTBH!$C:$C,$D14)&gt;1,SUMIFS(I.QTBH!AH:AH,I.QTBH!$C:$C,$D14),
IF(SUMIFS(I.QTBH!BH:BH,I.QTBH!$C:$C,$D14)=1,"TS,KL",""))</f>
        <v/>
      </c>
      <c r="P14" s="19" t="str">
        <f ca="1">IF(SUMIFS(I.QTBH!BI:BI,I.QTBH!$C:$C,$D14)&gt;1,SUMIFS(I.QTBH!AI:AI,I.QTBH!$C:$C,$D14),
IF(SUMIFS(I.QTBH!BI:BI,I.QTBH!$C:$C,$D14)=1,"TS,KL",""))</f>
        <v/>
      </c>
      <c r="Q14" s="19" t="str">
        <f ca="1">IF(SUMIFS(I.QTBH!BJ:BJ,I.QTBH!$C:$C,$D14)&gt;1,SUMIFS(I.QTBH!AJ:AJ,I.QTBH!$C:$C,$D14),
IF(SUMIFS(I.QTBH!BJ:BJ,I.QTBH!$C:$C,$D14)=1,"TS,KL",""))</f>
        <v/>
      </c>
      <c r="R14" s="19" t="str">
        <f ca="1">IF(SUMIFS(I.QTBH!BK:BK,I.QTBH!$C:$C,$D14)&gt;1,SUMIFS(I.QTBH!AK:AK,I.QTBH!$C:$C,$D14),
IF(SUMIFS(I.QTBH!BK:BK,I.QTBH!$C:$C,$D14)=1,"TS,KL",""))</f>
        <v/>
      </c>
      <c r="S14" s="19" t="str">
        <f ca="1">IF(SUMIFS(I.QTBH!BL:BL,I.QTBH!$C:$C,$D14)&gt;1,SUMIFS(I.QTBH!AL:AL,I.QTBH!$C:$C,$D14),
IF(SUMIFS(I.QTBH!BL:BL,I.QTBH!$C:$C,$D14)=1,"TS,KL",""))</f>
        <v/>
      </c>
      <c r="T14" s="126" t="str">
        <f ca="1">IFERROR(INDEX(I.QTBH!O:O,MATCH($D14,I.QTBH!$C:$C,0),1),"")</f>
        <v/>
      </c>
      <c r="U14" s="234" t="str">
        <f t="shared" ca="1" si="1"/>
        <v/>
      </c>
      <c r="V14" s="183"/>
    </row>
    <row r="15" spans="2:22" s="4" customFormat="1" ht="15" customHeight="1" x14ac:dyDescent="0.25">
      <c r="B15" s="182"/>
      <c r="C15" s="7">
        <f t="shared" si="0"/>
        <v>4</v>
      </c>
      <c r="D15" s="34" t="str" cm="1">
        <f t="array" aca="1" ref="D15" ca="1">IFERROR(INDEX(INDIRECT(I.QTBH!$C$6),MATCH(1,
(COUNTIF($D$11:D14,INDIRECT(I.QTBH!$C$6))=0)*
(INDIRECT(I.QTBH!$F$6)&lt;&gt;"OFF")*
(INDIRECT(I.QTBH!$P$6)="Không"),0),1),"")</f>
        <v/>
      </c>
      <c r="E15" s="35" t="str">
        <f ca="1">IFERROR(INDEX(I.QTBH!D:D,MATCH(D15,I.QTBH!C:C,0),1),"")</f>
        <v/>
      </c>
      <c r="F15" s="36" t="str">
        <f ca="1">IFERROR(INDEX(I.QTBH!B:B,MATCH(D15,I.QTBH!C:C,0),1),"")</f>
        <v/>
      </c>
      <c r="G15" s="19" t="str">
        <f ca="1">IF(SUMIFS(I.QTBH!AZ:AZ,I.QTBH!$C:$C,$D15)&gt;1,SUMIFS(I.QTBH!Z:Z,I.QTBH!$C:$C,$D15),
IF(SUMIFS(I.QTBH!AZ:AZ,I.QTBH!$C:$C,$D15)=1,"TS,KL",""))</f>
        <v/>
      </c>
      <c r="H15" s="19" t="str">
        <f ca="1">IF(SUMIFS(I.QTBH!BA:BA,I.QTBH!$C:$C,$D15)&gt;1,SUMIFS(I.QTBH!AA:AA,I.QTBH!$C:$C,$D15),
IF(SUMIFS(I.QTBH!BA:BA,I.QTBH!$C:$C,$D15)=1,"TS,KL",""))</f>
        <v/>
      </c>
      <c r="I15" s="19" t="str">
        <f ca="1">IF(SUMIFS(I.QTBH!BB:BB,I.QTBH!$C:$C,$D15)&gt;1,SUMIFS(I.QTBH!AB:AB,I.QTBH!$C:$C,$D15),
IF(SUMIFS(I.QTBH!BB:BB,I.QTBH!$C:$C,$D15)=1,"TS,KL",""))</f>
        <v/>
      </c>
      <c r="J15" s="19" t="str">
        <f ca="1">IF(SUMIFS(I.QTBH!BC:BC,I.QTBH!$C:$C,$D15)&gt;1,SUMIFS(I.QTBH!AC:AC,I.QTBH!$C:$C,$D15),
IF(SUMIFS(I.QTBH!BC:BC,I.QTBH!$C:$C,$D15)=1,"TS,KL",""))</f>
        <v/>
      </c>
      <c r="K15" s="19" t="str">
        <f ca="1">IF(SUMIFS(I.QTBH!BD:BD,I.QTBH!$C:$C,$D15)&gt;1,SUMIFS(I.QTBH!AD:AD,I.QTBH!$C:$C,$D15),
IF(SUMIFS(I.QTBH!BD:BD,I.QTBH!$C:$C,$D15)=1,"TS,KL",""))</f>
        <v/>
      </c>
      <c r="L15" s="19" t="str">
        <f ca="1">IF(SUMIFS(I.QTBH!BE:BE,I.QTBH!$C:$C,$D15)&gt;1,SUMIFS(I.QTBH!AE:AE,I.QTBH!$C:$C,$D15),
IF(SUMIFS(I.QTBH!BE:BE,I.QTBH!$C:$C,$D15)=1,"TS,KL",""))</f>
        <v/>
      </c>
      <c r="M15" s="19" t="str">
        <f ca="1">IF(SUMIFS(I.QTBH!BF:BF,I.QTBH!$C:$C,$D15)&gt;1,SUMIFS(I.QTBH!AF:AF,I.QTBH!$C:$C,$D15),
IF(SUMIFS(I.QTBH!BF:BF,I.QTBH!$C:$C,$D15)=1,"TS,KL",""))</f>
        <v/>
      </c>
      <c r="N15" s="19" t="str">
        <f ca="1">IF(SUMIFS(I.QTBH!BG:BG,I.QTBH!$C:$C,$D15)&gt;1,SUMIFS(I.QTBH!AG:AG,I.QTBH!$C:$C,$D15),
IF(SUMIFS(I.QTBH!BG:BG,I.QTBH!$C:$C,$D15)=1,"TS,KL",""))</f>
        <v/>
      </c>
      <c r="O15" s="19" t="str">
        <f ca="1">IF(SUMIFS(I.QTBH!BH:BH,I.QTBH!$C:$C,$D15)&gt;1,SUMIFS(I.QTBH!AH:AH,I.QTBH!$C:$C,$D15),
IF(SUMIFS(I.QTBH!BH:BH,I.QTBH!$C:$C,$D15)=1,"TS,KL",""))</f>
        <v/>
      </c>
      <c r="P15" s="19" t="str">
        <f ca="1">IF(SUMIFS(I.QTBH!BI:BI,I.QTBH!$C:$C,$D15)&gt;1,SUMIFS(I.QTBH!AI:AI,I.QTBH!$C:$C,$D15),
IF(SUMIFS(I.QTBH!BI:BI,I.QTBH!$C:$C,$D15)=1,"TS,KL",""))</f>
        <v/>
      </c>
      <c r="Q15" s="19" t="str">
        <f ca="1">IF(SUMIFS(I.QTBH!BJ:BJ,I.QTBH!$C:$C,$D15)&gt;1,SUMIFS(I.QTBH!AJ:AJ,I.QTBH!$C:$C,$D15),
IF(SUMIFS(I.QTBH!BJ:BJ,I.QTBH!$C:$C,$D15)=1,"TS,KL",""))</f>
        <v/>
      </c>
      <c r="R15" s="19" t="str">
        <f ca="1">IF(SUMIFS(I.QTBH!BK:BK,I.QTBH!$C:$C,$D15)&gt;1,SUMIFS(I.QTBH!AK:AK,I.QTBH!$C:$C,$D15),
IF(SUMIFS(I.QTBH!BK:BK,I.QTBH!$C:$C,$D15)=1,"TS,KL",""))</f>
        <v/>
      </c>
      <c r="S15" s="19" t="str">
        <f ca="1">IF(SUMIFS(I.QTBH!BL:BL,I.QTBH!$C:$C,$D15)&gt;1,SUMIFS(I.QTBH!AL:AL,I.QTBH!$C:$C,$D15),
IF(SUMIFS(I.QTBH!BL:BL,I.QTBH!$C:$C,$D15)=1,"TS,KL",""))</f>
        <v/>
      </c>
      <c r="T15" s="126" t="str">
        <f ca="1">IFERROR(INDEX(I.QTBH!O:O,MATCH($D15,I.QTBH!$C:$C,0),1),"")</f>
        <v/>
      </c>
      <c r="U15" s="234" t="str">
        <f t="shared" ca="1" si="1"/>
        <v/>
      </c>
      <c r="V15" s="183"/>
    </row>
    <row r="16" spans="2:22" s="4" customFormat="1" ht="15" customHeight="1" x14ac:dyDescent="0.25">
      <c r="B16" s="182"/>
      <c r="C16" s="7">
        <f t="shared" si="0"/>
        <v>5</v>
      </c>
      <c r="D16" s="34" t="str" cm="1">
        <f t="array" aca="1" ref="D16" ca="1">IFERROR(INDEX(INDIRECT(I.QTBH!$C$6),MATCH(1,
(COUNTIF($D$11:D15,INDIRECT(I.QTBH!$C$6))=0)*
(INDIRECT(I.QTBH!$F$6)&lt;&gt;"OFF")*
(INDIRECT(I.QTBH!$P$6)="Không"),0),1),"")</f>
        <v/>
      </c>
      <c r="E16" s="35" t="str">
        <f ca="1">IFERROR(INDEX(I.QTBH!D:D,MATCH(D16,I.QTBH!C:C,0),1),"")</f>
        <v/>
      </c>
      <c r="F16" s="36" t="str">
        <f ca="1">IFERROR(INDEX(I.QTBH!B:B,MATCH(D16,I.QTBH!C:C,0),1),"")</f>
        <v/>
      </c>
      <c r="G16" s="19" t="str">
        <f ca="1">IF(SUMIFS(I.QTBH!AZ:AZ,I.QTBH!$C:$C,$D16)&gt;1,SUMIFS(I.QTBH!Z:Z,I.QTBH!$C:$C,$D16),
IF(SUMIFS(I.QTBH!AZ:AZ,I.QTBH!$C:$C,$D16)=1,"TS,KL",""))</f>
        <v/>
      </c>
      <c r="H16" s="19" t="str">
        <f ca="1">IF(SUMIFS(I.QTBH!BA:BA,I.QTBH!$C:$C,$D16)&gt;1,SUMIFS(I.QTBH!AA:AA,I.QTBH!$C:$C,$D16),
IF(SUMIFS(I.QTBH!BA:BA,I.QTBH!$C:$C,$D16)=1,"TS,KL",""))</f>
        <v/>
      </c>
      <c r="I16" s="19" t="str">
        <f ca="1">IF(SUMIFS(I.QTBH!BB:BB,I.QTBH!$C:$C,$D16)&gt;1,SUMIFS(I.QTBH!AB:AB,I.QTBH!$C:$C,$D16),
IF(SUMIFS(I.QTBH!BB:BB,I.QTBH!$C:$C,$D16)=1,"TS,KL",""))</f>
        <v/>
      </c>
      <c r="J16" s="19" t="str">
        <f ca="1">IF(SUMIFS(I.QTBH!BC:BC,I.QTBH!$C:$C,$D16)&gt;1,SUMIFS(I.QTBH!AC:AC,I.QTBH!$C:$C,$D16),
IF(SUMIFS(I.QTBH!BC:BC,I.QTBH!$C:$C,$D16)=1,"TS,KL",""))</f>
        <v/>
      </c>
      <c r="K16" s="19" t="str">
        <f ca="1">IF(SUMIFS(I.QTBH!BD:BD,I.QTBH!$C:$C,$D16)&gt;1,SUMIFS(I.QTBH!AD:AD,I.QTBH!$C:$C,$D16),
IF(SUMIFS(I.QTBH!BD:BD,I.QTBH!$C:$C,$D16)=1,"TS,KL",""))</f>
        <v/>
      </c>
      <c r="L16" s="19" t="str">
        <f ca="1">IF(SUMIFS(I.QTBH!BE:BE,I.QTBH!$C:$C,$D16)&gt;1,SUMIFS(I.QTBH!AE:AE,I.QTBH!$C:$C,$D16),
IF(SUMIFS(I.QTBH!BE:BE,I.QTBH!$C:$C,$D16)=1,"TS,KL",""))</f>
        <v/>
      </c>
      <c r="M16" s="19" t="str">
        <f ca="1">IF(SUMIFS(I.QTBH!BF:BF,I.QTBH!$C:$C,$D16)&gt;1,SUMIFS(I.QTBH!AF:AF,I.QTBH!$C:$C,$D16),
IF(SUMIFS(I.QTBH!BF:BF,I.QTBH!$C:$C,$D16)=1,"TS,KL",""))</f>
        <v/>
      </c>
      <c r="N16" s="19" t="str">
        <f ca="1">IF(SUMIFS(I.QTBH!BG:BG,I.QTBH!$C:$C,$D16)&gt;1,SUMIFS(I.QTBH!AG:AG,I.QTBH!$C:$C,$D16),
IF(SUMIFS(I.QTBH!BG:BG,I.QTBH!$C:$C,$D16)=1,"TS,KL",""))</f>
        <v/>
      </c>
      <c r="O16" s="19" t="str">
        <f ca="1">IF(SUMIFS(I.QTBH!BH:BH,I.QTBH!$C:$C,$D16)&gt;1,SUMIFS(I.QTBH!AH:AH,I.QTBH!$C:$C,$D16),
IF(SUMIFS(I.QTBH!BH:BH,I.QTBH!$C:$C,$D16)=1,"TS,KL",""))</f>
        <v/>
      </c>
      <c r="P16" s="19" t="str">
        <f ca="1">IF(SUMIFS(I.QTBH!BI:BI,I.QTBH!$C:$C,$D16)&gt;1,SUMIFS(I.QTBH!AI:AI,I.QTBH!$C:$C,$D16),
IF(SUMIFS(I.QTBH!BI:BI,I.QTBH!$C:$C,$D16)=1,"TS,KL",""))</f>
        <v/>
      </c>
      <c r="Q16" s="19" t="str">
        <f ca="1">IF(SUMIFS(I.QTBH!BJ:BJ,I.QTBH!$C:$C,$D16)&gt;1,SUMIFS(I.QTBH!AJ:AJ,I.QTBH!$C:$C,$D16),
IF(SUMIFS(I.QTBH!BJ:BJ,I.QTBH!$C:$C,$D16)=1,"TS,KL",""))</f>
        <v/>
      </c>
      <c r="R16" s="19" t="str">
        <f ca="1">IF(SUMIFS(I.QTBH!BK:BK,I.QTBH!$C:$C,$D16)&gt;1,SUMIFS(I.QTBH!AK:AK,I.QTBH!$C:$C,$D16),
IF(SUMIFS(I.QTBH!BK:BK,I.QTBH!$C:$C,$D16)=1,"TS,KL",""))</f>
        <v/>
      </c>
      <c r="S16" s="19" t="str">
        <f ca="1">IF(SUMIFS(I.QTBH!BL:BL,I.QTBH!$C:$C,$D16)&gt;1,SUMIFS(I.QTBH!AL:AL,I.QTBH!$C:$C,$D16),
IF(SUMIFS(I.QTBH!BL:BL,I.QTBH!$C:$C,$D16)=1,"TS,KL",""))</f>
        <v/>
      </c>
      <c r="T16" s="126" t="str">
        <f ca="1">IFERROR(INDEX(I.QTBH!O:O,MATCH($D16,I.QTBH!$C:$C,0),1),"")</f>
        <v/>
      </c>
      <c r="U16" s="234" t="str">
        <f t="shared" ca="1" si="1"/>
        <v/>
      </c>
      <c r="V16" s="183"/>
    </row>
    <row r="17" spans="2:22" s="4" customFormat="1" ht="15" customHeight="1" x14ac:dyDescent="0.25">
      <c r="B17" s="182"/>
      <c r="C17" s="7">
        <f t="shared" si="0"/>
        <v>6</v>
      </c>
      <c r="D17" s="34" t="str" cm="1">
        <f t="array" aca="1" ref="D17" ca="1">IFERROR(INDEX(INDIRECT(I.QTBH!$C$6),MATCH(1,
(COUNTIF($D$11:D16,INDIRECT(I.QTBH!$C$6))=0)*
(INDIRECT(I.QTBH!$F$6)&lt;&gt;"OFF")*
(INDIRECT(I.QTBH!$P$6)="Không"),0),1),"")</f>
        <v/>
      </c>
      <c r="E17" s="35" t="str">
        <f ca="1">IFERROR(INDEX(I.QTBH!D:D,MATCH(D17,I.QTBH!C:C,0),1),"")</f>
        <v/>
      </c>
      <c r="F17" s="36" t="str">
        <f ca="1">IFERROR(INDEX(I.QTBH!B:B,MATCH(D17,I.QTBH!C:C,0),1),"")</f>
        <v/>
      </c>
      <c r="G17" s="19" t="str">
        <f ca="1">IF(SUMIFS(I.QTBH!AZ:AZ,I.QTBH!$C:$C,$D17)&gt;1,SUMIFS(I.QTBH!Z:Z,I.QTBH!$C:$C,$D17),
IF(SUMIFS(I.QTBH!AZ:AZ,I.QTBH!$C:$C,$D17)=1,"TS,KL",""))</f>
        <v/>
      </c>
      <c r="H17" s="19" t="str">
        <f ca="1">IF(SUMIFS(I.QTBH!BA:BA,I.QTBH!$C:$C,$D17)&gt;1,SUMIFS(I.QTBH!AA:AA,I.QTBH!$C:$C,$D17),
IF(SUMIFS(I.QTBH!BA:BA,I.QTBH!$C:$C,$D17)=1,"TS,KL",""))</f>
        <v/>
      </c>
      <c r="I17" s="19" t="str">
        <f ca="1">IF(SUMIFS(I.QTBH!BB:BB,I.QTBH!$C:$C,$D17)&gt;1,SUMIFS(I.QTBH!AB:AB,I.QTBH!$C:$C,$D17),
IF(SUMIFS(I.QTBH!BB:BB,I.QTBH!$C:$C,$D17)=1,"TS,KL",""))</f>
        <v/>
      </c>
      <c r="J17" s="19" t="str">
        <f ca="1">IF(SUMIFS(I.QTBH!BC:BC,I.QTBH!$C:$C,$D17)&gt;1,SUMIFS(I.QTBH!AC:AC,I.QTBH!$C:$C,$D17),
IF(SUMIFS(I.QTBH!BC:BC,I.QTBH!$C:$C,$D17)=1,"TS,KL",""))</f>
        <v/>
      </c>
      <c r="K17" s="19" t="str">
        <f ca="1">IF(SUMIFS(I.QTBH!BD:BD,I.QTBH!$C:$C,$D17)&gt;1,SUMIFS(I.QTBH!AD:AD,I.QTBH!$C:$C,$D17),
IF(SUMIFS(I.QTBH!BD:BD,I.QTBH!$C:$C,$D17)=1,"TS,KL",""))</f>
        <v/>
      </c>
      <c r="L17" s="19" t="str">
        <f ca="1">IF(SUMIFS(I.QTBH!BE:BE,I.QTBH!$C:$C,$D17)&gt;1,SUMIFS(I.QTBH!AE:AE,I.QTBH!$C:$C,$D17),
IF(SUMIFS(I.QTBH!BE:BE,I.QTBH!$C:$C,$D17)=1,"TS,KL",""))</f>
        <v/>
      </c>
      <c r="M17" s="19" t="str">
        <f ca="1">IF(SUMIFS(I.QTBH!BF:BF,I.QTBH!$C:$C,$D17)&gt;1,SUMIFS(I.QTBH!AF:AF,I.QTBH!$C:$C,$D17),
IF(SUMIFS(I.QTBH!BF:BF,I.QTBH!$C:$C,$D17)=1,"TS,KL",""))</f>
        <v/>
      </c>
      <c r="N17" s="19" t="str">
        <f ca="1">IF(SUMIFS(I.QTBH!BG:BG,I.QTBH!$C:$C,$D17)&gt;1,SUMIFS(I.QTBH!AG:AG,I.QTBH!$C:$C,$D17),
IF(SUMIFS(I.QTBH!BG:BG,I.QTBH!$C:$C,$D17)=1,"TS,KL",""))</f>
        <v/>
      </c>
      <c r="O17" s="19" t="str">
        <f ca="1">IF(SUMIFS(I.QTBH!BH:BH,I.QTBH!$C:$C,$D17)&gt;1,SUMIFS(I.QTBH!AH:AH,I.QTBH!$C:$C,$D17),
IF(SUMIFS(I.QTBH!BH:BH,I.QTBH!$C:$C,$D17)=1,"TS,KL",""))</f>
        <v/>
      </c>
      <c r="P17" s="19" t="str">
        <f ca="1">IF(SUMIFS(I.QTBH!BI:BI,I.QTBH!$C:$C,$D17)&gt;1,SUMIFS(I.QTBH!AI:AI,I.QTBH!$C:$C,$D17),
IF(SUMIFS(I.QTBH!BI:BI,I.QTBH!$C:$C,$D17)=1,"TS,KL",""))</f>
        <v/>
      </c>
      <c r="Q17" s="19" t="str">
        <f ca="1">IF(SUMIFS(I.QTBH!BJ:BJ,I.QTBH!$C:$C,$D17)&gt;1,SUMIFS(I.QTBH!AJ:AJ,I.QTBH!$C:$C,$D17),
IF(SUMIFS(I.QTBH!BJ:BJ,I.QTBH!$C:$C,$D17)=1,"TS,KL",""))</f>
        <v/>
      </c>
      <c r="R17" s="19" t="str">
        <f ca="1">IF(SUMIFS(I.QTBH!BK:BK,I.QTBH!$C:$C,$D17)&gt;1,SUMIFS(I.QTBH!AK:AK,I.QTBH!$C:$C,$D17),
IF(SUMIFS(I.QTBH!BK:BK,I.QTBH!$C:$C,$D17)=1,"TS,KL",""))</f>
        <v/>
      </c>
      <c r="S17" s="19" t="str">
        <f ca="1">IF(SUMIFS(I.QTBH!BL:BL,I.QTBH!$C:$C,$D17)&gt;1,SUMIFS(I.QTBH!AL:AL,I.QTBH!$C:$C,$D17),
IF(SUMIFS(I.QTBH!BL:BL,I.QTBH!$C:$C,$D17)=1,"TS,KL",""))</f>
        <v/>
      </c>
      <c r="T17" s="126" t="str">
        <f ca="1">IFERROR(INDEX(I.QTBH!O:O,MATCH($D17,I.QTBH!$C:$C,0),1),"")</f>
        <v/>
      </c>
      <c r="U17" s="234" t="str">
        <f t="shared" ca="1" si="1"/>
        <v/>
      </c>
      <c r="V17" s="183"/>
    </row>
    <row r="18" spans="2:22" s="4" customFormat="1" ht="15" customHeight="1" x14ac:dyDescent="0.25">
      <c r="B18" s="182"/>
      <c r="C18" s="7">
        <f t="shared" si="0"/>
        <v>7</v>
      </c>
      <c r="D18" s="34" t="str" cm="1">
        <f t="array" aca="1" ref="D18" ca="1">IFERROR(INDEX(INDIRECT(I.QTBH!$C$6),MATCH(1,
(COUNTIF($D$11:D17,INDIRECT(I.QTBH!$C$6))=0)*
(INDIRECT(I.QTBH!$F$6)&lt;&gt;"OFF")*
(INDIRECT(I.QTBH!$P$6)="Không"),0),1),"")</f>
        <v/>
      </c>
      <c r="E18" s="35" t="str">
        <f ca="1">IFERROR(INDEX(I.QTBH!D:D,MATCH(D18,I.QTBH!C:C,0),1),"")</f>
        <v/>
      </c>
      <c r="F18" s="36" t="str">
        <f ca="1">IFERROR(INDEX(I.QTBH!B:B,MATCH(D18,I.QTBH!C:C,0),1),"")</f>
        <v/>
      </c>
      <c r="G18" s="19" t="str">
        <f ca="1">IF(SUMIFS(I.QTBH!AZ:AZ,I.QTBH!$C:$C,$D18)&gt;1,SUMIFS(I.QTBH!Z:Z,I.QTBH!$C:$C,$D18),
IF(SUMIFS(I.QTBH!AZ:AZ,I.QTBH!$C:$C,$D18)=1,"TS,KL",""))</f>
        <v/>
      </c>
      <c r="H18" s="19" t="str">
        <f ca="1">IF(SUMIFS(I.QTBH!BA:BA,I.QTBH!$C:$C,$D18)&gt;1,SUMIFS(I.QTBH!AA:AA,I.QTBH!$C:$C,$D18),
IF(SUMIFS(I.QTBH!BA:BA,I.QTBH!$C:$C,$D18)=1,"TS,KL",""))</f>
        <v/>
      </c>
      <c r="I18" s="19" t="str">
        <f ca="1">IF(SUMIFS(I.QTBH!BB:BB,I.QTBH!$C:$C,$D18)&gt;1,SUMIFS(I.QTBH!AB:AB,I.QTBH!$C:$C,$D18),
IF(SUMIFS(I.QTBH!BB:BB,I.QTBH!$C:$C,$D18)=1,"TS,KL",""))</f>
        <v/>
      </c>
      <c r="J18" s="19" t="str">
        <f ca="1">IF(SUMIFS(I.QTBH!BC:BC,I.QTBH!$C:$C,$D18)&gt;1,SUMIFS(I.QTBH!AC:AC,I.QTBH!$C:$C,$D18),
IF(SUMIFS(I.QTBH!BC:BC,I.QTBH!$C:$C,$D18)=1,"TS,KL",""))</f>
        <v/>
      </c>
      <c r="K18" s="19" t="str">
        <f ca="1">IF(SUMIFS(I.QTBH!BD:BD,I.QTBH!$C:$C,$D18)&gt;1,SUMIFS(I.QTBH!AD:AD,I.QTBH!$C:$C,$D18),
IF(SUMIFS(I.QTBH!BD:BD,I.QTBH!$C:$C,$D18)=1,"TS,KL",""))</f>
        <v/>
      </c>
      <c r="L18" s="19" t="str">
        <f ca="1">IF(SUMIFS(I.QTBH!BE:BE,I.QTBH!$C:$C,$D18)&gt;1,SUMIFS(I.QTBH!AE:AE,I.QTBH!$C:$C,$D18),
IF(SUMIFS(I.QTBH!BE:BE,I.QTBH!$C:$C,$D18)=1,"TS,KL",""))</f>
        <v/>
      </c>
      <c r="M18" s="19" t="str">
        <f ca="1">IF(SUMIFS(I.QTBH!BF:BF,I.QTBH!$C:$C,$D18)&gt;1,SUMIFS(I.QTBH!AF:AF,I.QTBH!$C:$C,$D18),
IF(SUMIFS(I.QTBH!BF:BF,I.QTBH!$C:$C,$D18)=1,"TS,KL",""))</f>
        <v/>
      </c>
      <c r="N18" s="19" t="str">
        <f ca="1">IF(SUMIFS(I.QTBH!BG:BG,I.QTBH!$C:$C,$D18)&gt;1,SUMIFS(I.QTBH!AG:AG,I.QTBH!$C:$C,$D18),
IF(SUMIFS(I.QTBH!BG:BG,I.QTBH!$C:$C,$D18)=1,"TS,KL",""))</f>
        <v/>
      </c>
      <c r="O18" s="19" t="str">
        <f ca="1">IF(SUMIFS(I.QTBH!BH:BH,I.QTBH!$C:$C,$D18)&gt;1,SUMIFS(I.QTBH!AH:AH,I.QTBH!$C:$C,$D18),
IF(SUMIFS(I.QTBH!BH:BH,I.QTBH!$C:$C,$D18)=1,"TS,KL",""))</f>
        <v/>
      </c>
      <c r="P18" s="19" t="str">
        <f ca="1">IF(SUMIFS(I.QTBH!BI:BI,I.QTBH!$C:$C,$D18)&gt;1,SUMIFS(I.QTBH!AI:AI,I.QTBH!$C:$C,$D18),
IF(SUMIFS(I.QTBH!BI:BI,I.QTBH!$C:$C,$D18)=1,"TS,KL",""))</f>
        <v/>
      </c>
      <c r="Q18" s="19" t="str">
        <f ca="1">IF(SUMIFS(I.QTBH!BJ:BJ,I.QTBH!$C:$C,$D18)&gt;1,SUMIFS(I.QTBH!AJ:AJ,I.QTBH!$C:$C,$D18),
IF(SUMIFS(I.QTBH!BJ:BJ,I.QTBH!$C:$C,$D18)=1,"TS,KL",""))</f>
        <v/>
      </c>
      <c r="R18" s="19" t="str">
        <f ca="1">IF(SUMIFS(I.QTBH!BK:BK,I.QTBH!$C:$C,$D18)&gt;1,SUMIFS(I.QTBH!AK:AK,I.QTBH!$C:$C,$D18),
IF(SUMIFS(I.QTBH!BK:BK,I.QTBH!$C:$C,$D18)=1,"TS,KL",""))</f>
        <v/>
      </c>
      <c r="S18" s="19" t="str">
        <f ca="1">IF(SUMIFS(I.QTBH!BL:BL,I.QTBH!$C:$C,$D18)&gt;1,SUMIFS(I.QTBH!AL:AL,I.QTBH!$C:$C,$D18),
IF(SUMIFS(I.QTBH!BL:BL,I.QTBH!$C:$C,$D18)=1,"TS,KL",""))</f>
        <v/>
      </c>
      <c r="T18" s="126" t="str">
        <f ca="1">IFERROR(INDEX(I.QTBH!O:O,MATCH($D18,I.QTBH!$C:$C,0),1),"")</f>
        <v/>
      </c>
      <c r="U18" s="234" t="str">
        <f t="shared" ca="1" si="1"/>
        <v/>
      </c>
      <c r="V18" s="183"/>
    </row>
    <row r="19" spans="2:22" s="4" customFormat="1" ht="15" customHeight="1" x14ac:dyDescent="0.25">
      <c r="B19" s="182"/>
      <c r="C19" s="7">
        <f t="shared" si="0"/>
        <v>8</v>
      </c>
      <c r="D19" s="34" t="str" cm="1">
        <f t="array" aca="1" ref="D19" ca="1">IFERROR(INDEX(INDIRECT(I.QTBH!$C$6),MATCH(1,
(COUNTIF($D$11:D18,INDIRECT(I.QTBH!$C$6))=0)*
(INDIRECT(I.QTBH!$F$6)&lt;&gt;"OFF")*
(INDIRECT(I.QTBH!$P$6)="Không"),0),1),"")</f>
        <v/>
      </c>
      <c r="E19" s="35" t="str">
        <f ca="1">IFERROR(INDEX(I.QTBH!D:D,MATCH(D19,I.QTBH!C:C,0),1),"")</f>
        <v/>
      </c>
      <c r="F19" s="36" t="str">
        <f ca="1">IFERROR(INDEX(I.QTBH!B:B,MATCH(D19,I.QTBH!C:C,0),1),"")</f>
        <v/>
      </c>
      <c r="G19" s="19" t="str">
        <f ca="1">IF(SUMIFS(I.QTBH!AZ:AZ,I.QTBH!$C:$C,$D19)&gt;1,SUMIFS(I.QTBH!Z:Z,I.QTBH!$C:$C,$D19),
IF(SUMIFS(I.QTBH!AZ:AZ,I.QTBH!$C:$C,$D19)=1,"TS,KL",""))</f>
        <v/>
      </c>
      <c r="H19" s="19" t="str">
        <f ca="1">IF(SUMIFS(I.QTBH!BA:BA,I.QTBH!$C:$C,$D19)&gt;1,SUMIFS(I.QTBH!AA:AA,I.QTBH!$C:$C,$D19),
IF(SUMIFS(I.QTBH!BA:BA,I.QTBH!$C:$C,$D19)=1,"TS,KL",""))</f>
        <v/>
      </c>
      <c r="I19" s="19" t="str">
        <f ca="1">IF(SUMIFS(I.QTBH!BB:BB,I.QTBH!$C:$C,$D19)&gt;1,SUMIFS(I.QTBH!AB:AB,I.QTBH!$C:$C,$D19),
IF(SUMIFS(I.QTBH!BB:BB,I.QTBH!$C:$C,$D19)=1,"TS,KL",""))</f>
        <v/>
      </c>
      <c r="J19" s="19" t="str">
        <f ca="1">IF(SUMIFS(I.QTBH!BC:BC,I.QTBH!$C:$C,$D19)&gt;1,SUMIFS(I.QTBH!AC:AC,I.QTBH!$C:$C,$D19),
IF(SUMIFS(I.QTBH!BC:BC,I.QTBH!$C:$C,$D19)=1,"TS,KL",""))</f>
        <v/>
      </c>
      <c r="K19" s="19" t="str">
        <f ca="1">IF(SUMIFS(I.QTBH!BD:BD,I.QTBH!$C:$C,$D19)&gt;1,SUMIFS(I.QTBH!AD:AD,I.QTBH!$C:$C,$D19),
IF(SUMIFS(I.QTBH!BD:BD,I.QTBH!$C:$C,$D19)=1,"TS,KL",""))</f>
        <v/>
      </c>
      <c r="L19" s="19" t="str">
        <f ca="1">IF(SUMIFS(I.QTBH!BE:BE,I.QTBH!$C:$C,$D19)&gt;1,SUMIFS(I.QTBH!AE:AE,I.QTBH!$C:$C,$D19),
IF(SUMIFS(I.QTBH!BE:BE,I.QTBH!$C:$C,$D19)=1,"TS,KL",""))</f>
        <v/>
      </c>
      <c r="M19" s="19" t="str">
        <f ca="1">IF(SUMIFS(I.QTBH!BF:BF,I.QTBH!$C:$C,$D19)&gt;1,SUMIFS(I.QTBH!AF:AF,I.QTBH!$C:$C,$D19),
IF(SUMIFS(I.QTBH!BF:BF,I.QTBH!$C:$C,$D19)=1,"TS,KL",""))</f>
        <v/>
      </c>
      <c r="N19" s="19" t="str">
        <f ca="1">IF(SUMIFS(I.QTBH!BG:BG,I.QTBH!$C:$C,$D19)&gt;1,SUMIFS(I.QTBH!AG:AG,I.QTBH!$C:$C,$D19),
IF(SUMIFS(I.QTBH!BG:BG,I.QTBH!$C:$C,$D19)=1,"TS,KL",""))</f>
        <v/>
      </c>
      <c r="O19" s="19" t="str">
        <f ca="1">IF(SUMIFS(I.QTBH!BH:BH,I.QTBH!$C:$C,$D19)&gt;1,SUMIFS(I.QTBH!AH:AH,I.QTBH!$C:$C,$D19),
IF(SUMIFS(I.QTBH!BH:BH,I.QTBH!$C:$C,$D19)=1,"TS,KL",""))</f>
        <v/>
      </c>
      <c r="P19" s="19" t="str">
        <f ca="1">IF(SUMIFS(I.QTBH!BI:BI,I.QTBH!$C:$C,$D19)&gt;1,SUMIFS(I.QTBH!AI:AI,I.QTBH!$C:$C,$D19),
IF(SUMIFS(I.QTBH!BI:BI,I.QTBH!$C:$C,$D19)=1,"TS,KL",""))</f>
        <v/>
      </c>
      <c r="Q19" s="19" t="str">
        <f ca="1">IF(SUMIFS(I.QTBH!BJ:BJ,I.QTBH!$C:$C,$D19)&gt;1,SUMIFS(I.QTBH!AJ:AJ,I.QTBH!$C:$C,$D19),
IF(SUMIFS(I.QTBH!BJ:BJ,I.QTBH!$C:$C,$D19)=1,"TS,KL",""))</f>
        <v/>
      </c>
      <c r="R19" s="19" t="str">
        <f ca="1">IF(SUMIFS(I.QTBH!BK:BK,I.QTBH!$C:$C,$D19)&gt;1,SUMIFS(I.QTBH!AK:AK,I.QTBH!$C:$C,$D19),
IF(SUMIFS(I.QTBH!BK:BK,I.QTBH!$C:$C,$D19)=1,"TS,KL",""))</f>
        <v/>
      </c>
      <c r="S19" s="19" t="str">
        <f ca="1">IF(SUMIFS(I.QTBH!BL:BL,I.QTBH!$C:$C,$D19)&gt;1,SUMIFS(I.QTBH!AL:AL,I.QTBH!$C:$C,$D19),
IF(SUMIFS(I.QTBH!BL:BL,I.QTBH!$C:$C,$D19)=1,"TS,KL",""))</f>
        <v/>
      </c>
      <c r="T19" s="126" t="str">
        <f ca="1">IFERROR(INDEX(I.QTBH!O:O,MATCH($D19,I.QTBH!$C:$C,0),1),"")</f>
        <v/>
      </c>
      <c r="U19" s="234" t="str">
        <f t="shared" ca="1" si="1"/>
        <v/>
      </c>
      <c r="V19" s="183"/>
    </row>
    <row r="20" spans="2:22" s="4" customFormat="1" ht="15" customHeight="1" x14ac:dyDescent="0.25">
      <c r="B20" s="182"/>
      <c r="C20" s="7">
        <f t="shared" si="0"/>
        <v>9</v>
      </c>
      <c r="D20" s="34" t="str" cm="1">
        <f t="array" aca="1" ref="D20" ca="1">IFERROR(INDEX(INDIRECT(I.QTBH!$C$6),MATCH(1,
(COUNTIF($D$11:D19,INDIRECT(I.QTBH!$C$6))=0)*
(INDIRECT(I.QTBH!$F$6)&lt;&gt;"OFF")*
(INDIRECT(I.QTBH!$P$6)="Không"),0),1),"")</f>
        <v/>
      </c>
      <c r="E20" s="35" t="str">
        <f ca="1">IFERROR(INDEX(I.QTBH!D:D,MATCH(D20,I.QTBH!C:C,0),1),"")</f>
        <v/>
      </c>
      <c r="F20" s="36" t="str">
        <f ca="1">IFERROR(INDEX(I.QTBH!B:B,MATCH(D20,I.QTBH!C:C,0),1),"")</f>
        <v/>
      </c>
      <c r="G20" s="19" t="str">
        <f ca="1">IF(SUMIFS(I.QTBH!AZ:AZ,I.QTBH!$C:$C,$D20)&gt;1,SUMIFS(I.QTBH!Z:Z,I.QTBH!$C:$C,$D20),
IF(SUMIFS(I.QTBH!AZ:AZ,I.QTBH!$C:$C,$D20)=1,"TS,KL",""))</f>
        <v/>
      </c>
      <c r="H20" s="19" t="str">
        <f ca="1">IF(SUMIFS(I.QTBH!BA:BA,I.QTBH!$C:$C,$D20)&gt;1,SUMIFS(I.QTBH!AA:AA,I.QTBH!$C:$C,$D20),
IF(SUMIFS(I.QTBH!BA:BA,I.QTBH!$C:$C,$D20)=1,"TS,KL",""))</f>
        <v/>
      </c>
      <c r="I20" s="19" t="str">
        <f ca="1">IF(SUMIFS(I.QTBH!BB:BB,I.QTBH!$C:$C,$D20)&gt;1,SUMIFS(I.QTBH!AB:AB,I.QTBH!$C:$C,$D20),
IF(SUMIFS(I.QTBH!BB:BB,I.QTBH!$C:$C,$D20)=1,"TS,KL",""))</f>
        <v/>
      </c>
      <c r="J20" s="19" t="str">
        <f ca="1">IF(SUMIFS(I.QTBH!BC:BC,I.QTBH!$C:$C,$D20)&gt;1,SUMIFS(I.QTBH!AC:AC,I.QTBH!$C:$C,$D20),
IF(SUMIFS(I.QTBH!BC:BC,I.QTBH!$C:$C,$D20)=1,"TS,KL",""))</f>
        <v/>
      </c>
      <c r="K20" s="19" t="str">
        <f ca="1">IF(SUMIFS(I.QTBH!BD:BD,I.QTBH!$C:$C,$D20)&gt;1,SUMIFS(I.QTBH!AD:AD,I.QTBH!$C:$C,$D20),
IF(SUMIFS(I.QTBH!BD:BD,I.QTBH!$C:$C,$D20)=1,"TS,KL",""))</f>
        <v/>
      </c>
      <c r="L20" s="19" t="str">
        <f ca="1">IF(SUMIFS(I.QTBH!BE:BE,I.QTBH!$C:$C,$D20)&gt;1,SUMIFS(I.QTBH!AE:AE,I.QTBH!$C:$C,$D20),
IF(SUMIFS(I.QTBH!BE:BE,I.QTBH!$C:$C,$D20)=1,"TS,KL",""))</f>
        <v/>
      </c>
      <c r="M20" s="19" t="str">
        <f ca="1">IF(SUMIFS(I.QTBH!BF:BF,I.QTBH!$C:$C,$D20)&gt;1,SUMIFS(I.QTBH!AF:AF,I.QTBH!$C:$C,$D20),
IF(SUMIFS(I.QTBH!BF:BF,I.QTBH!$C:$C,$D20)=1,"TS,KL",""))</f>
        <v/>
      </c>
      <c r="N20" s="19" t="str">
        <f ca="1">IF(SUMIFS(I.QTBH!BG:BG,I.QTBH!$C:$C,$D20)&gt;1,SUMIFS(I.QTBH!AG:AG,I.QTBH!$C:$C,$D20),
IF(SUMIFS(I.QTBH!BG:BG,I.QTBH!$C:$C,$D20)=1,"TS,KL",""))</f>
        <v/>
      </c>
      <c r="O20" s="19" t="str">
        <f ca="1">IF(SUMIFS(I.QTBH!BH:BH,I.QTBH!$C:$C,$D20)&gt;1,SUMIFS(I.QTBH!AH:AH,I.QTBH!$C:$C,$D20),
IF(SUMIFS(I.QTBH!BH:BH,I.QTBH!$C:$C,$D20)=1,"TS,KL",""))</f>
        <v/>
      </c>
      <c r="P20" s="19" t="str">
        <f ca="1">IF(SUMIFS(I.QTBH!BI:BI,I.QTBH!$C:$C,$D20)&gt;1,SUMIFS(I.QTBH!AI:AI,I.QTBH!$C:$C,$D20),
IF(SUMIFS(I.QTBH!BI:BI,I.QTBH!$C:$C,$D20)=1,"TS,KL",""))</f>
        <v/>
      </c>
      <c r="Q20" s="19" t="str">
        <f ca="1">IF(SUMIFS(I.QTBH!BJ:BJ,I.QTBH!$C:$C,$D20)&gt;1,SUMIFS(I.QTBH!AJ:AJ,I.QTBH!$C:$C,$D20),
IF(SUMIFS(I.QTBH!BJ:BJ,I.QTBH!$C:$C,$D20)=1,"TS,KL",""))</f>
        <v/>
      </c>
      <c r="R20" s="19" t="str">
        <f ca="1">IF(SUMIFS(I.QTBH!BK:BK,I.QTBH!$C:$C,$D20)&gt;1,SUMIFS(I.QTBH!AK:AK,I.QTBH!$C:$C,$D20),
IF(SUMIFS(I.QTBH!BK:BK,I.QTBH!$C:$C,$D20)=1,"TS,KL",""))</f>
        <v/>
      </c>
      <c r="S20" s="19" t="str">
        <f ca="1">IF(SUMIFS(I.QTBH!BL:BL,I.QTBH!$C:$C,$D20)&gt;1,SUMIFS(I.QTBH!AL:AL,I.QTBH!$C:$C,$D20),
IF(SUMIFS(I.QTBH!BL:BL,I.QTBH!$C:$C,$D20)=1,"TS,KL",""))</f>
        <v/>
      </c>
      <c r="T20" s="126" t="str">
        <f ca="1">IFERROR(INDEX(I.QTBH!O:O,MATCH($D20,I.QTBH!$C:$C,0),1),"")</f>
        <v/>
      </c>
      <c r="U20" s="234" t="str">
        <f t="shared" ca="1" si="1"/>
        <v/>
      </c>
      <c r="V20" s="183"/>
    </row>
    <row r="21" spans="2:22" s="4" customFormat="1" ht="15" customHeight="1" x14ac:dyDescent="0.25">
      <c r="B21" s="182"/>
      <c r="C21" s="7">
        <f t="shared" si="0"/>
        <v>10</v>
      </c>
      <c r="D21" s="34" t="str" cm="1">
        <f t="array" aca="1" ref="D21" ca="1">IFERROR(INDEX(INDIRECT(I.QTBH!$C$6),MATCH(1,
(COUNTIF($D$11:D20,INDIRECT(I.QTBH!$C$6))=0)*
(INDIRECT(I.QTBH!$F$6)&lt;&gt;"OFF")*
(INDIRECT(I.QTBH!$P$6)="Không"),0),1),"")</f>
        <v/>
      </c>
      <c r="E21" s="35" t="str">
        <f ca="1">IFERROR(INDEX(I.QTBH!D:D,MATCH(D21,I.QTBH!C:C,0),1),"")</f>
        <v/>
      </c>
      <c r="F21" s="36" t="str">
        <f ca="1">IFERROR(INDEX(I.QTBH!B:B,MATCH(D21,I.QTBH!C:C,0),1),"")</f>
        <v/>
      </c>
      <c r="G21" s="19" t="str">
        <f ca="1">IF(SUMIFS(I.QTBH!AZ:AZ,I.QTBH!$C:$C,$D21)&gt;1,SUMIFS(I.QTBH!Z:Z,I.QTBH!$C:$C,$D21),
IF(SUMIFS(I.QTBH!AZ:AZ,I.QTBH!$C:$C,$D21)=1,"TS,KL",""))</f>
        <v/>
      </c>
      <c r="H21" s="19" t="str">
        <f ca="1">IF(SUMIFS(I.QTBH!BA:BA,I.QTBH!$C:$C,$D21)&gt;1,SUMIFS(I.QTBH!AA:AA,I.QTBH!$C:$C,$D21),
IF(SUMIFS(I.QTBH!BA:BA,I.QTBH!$C:$C,$D21)=1,"TS,KL",""))</f>
        <v/>
      </c>
      <c r="I21" s="19" t="str">
        <f ca="1">IF(SUMIFS(I.QTBH!BB:BB,I.QTBH!$C:$C,$D21)&gt;1,SUMIFS(I.QTBH!AB:AB,I.QTBH!$C:$C,$D21),
IF(SUMIFS(I.QTBH!BB:BB,I.QTBH!$C:$C,$D21)=1,"TS,KL",""))</f>
        <v/>
      </c>
      <c r="J21" s="19" t="str">
        <f ca="1">IF(SUMIFS(I.QTBH!BC:BC,I.QTBH!$C:$C,$D21)&gt;1,SUMIFS(I.QTBH!AC:AC,I.QTBH!$C:$C,$D21),
IF(SUMIFS(I.QTBH!BC:BC,I.QTBH!$C:$C,$D21)=1,"TS,KL",""))</f>
        <v/>
      </c>
      <c r="K21" s="19" t="str">
        <f ca="1">IF(SUMIFS(I.QTBH!BD:BD,I.QTBH!$C:$C,$D21)&gt;1,SUMIFS(I.QTBH!AD:AD,I.QTBH!$C:$C,$D21),
IF(SUMIFS(I.QTBH!BD:BD,I.QTBH!$C:$C,$D21)=1,"TS,KL",""))</f>
        <v/>
      </c>
      <c r="L21" s="19" t="str">
        <f ca="1">IF(SUMIFS(I.QTBH!BE:BE,I.QTBH!$C:$C,$D21)&gt;1,SUMIFS(I.QTBH!AE:AE,I.QTBH!$C:$C,$D21),
IF(SUMIFS(I.QTBH!BE:BE,I.QTBH!$C:$C,$D21)=1,"TS,KL",""))</f>
        <v/>
      </c>
      <c r="M21" s="19" t="str">
        <f ca="1">IF(SUMIFS(I.QTBH!BF:BF,I.QTBH!$C:$C,$D21)&gt;1,SUMIFS(I.QTBH!AF:AF,I.QTBH!$C:$C,$D21),
IF(SUMIFS(I.QTBH!BF:BF,I.QTBH!$C:$C,$D21)=1,"TS,KL",""))</f>
        <v/>
      </c>
      <c r="N21" s="19" t="str">
        <f ca="1">IF(SUMIFS(I.QTBH!BG:BG,I.QTBH!$C:$C,$D21)&gt;1,SUMIFS(I.QTBH!AG:AG,I.QTBH!$C:$C,$D21),
IF(SUMIFS(I.QTBH!BG:BG,I.QTBH!$C:$C,$D21)=1,"TS,KL",""))</f>
        <v/>
      </c>
      <c r="O21" s="19" t="str">
        <f ca="1">IF(SUMIFS(I.QTBH!BH:BH,I.QTBH!$C:$C,$D21)&gt;1,SUMIFS(I.QTBH!AH:AH,I.QTBH!$C:$C,$D21),
IF(SUMIFS(I.QTBH!BH:BH,I.QTBH!$C:$C,$D21)=1,"TS,KL",""))</f>
        <v/>
      </c>
      <c r="P21" s="19" t="str">
        <f ca="1">IF(SUMIFS(I.QTBH!BI:BI,I.QTBH!$C:$C,$D21)&gt;1,SUMIFS(I.QTBH!AI:AI,I.QTBH!$C:$C,$D21),
IF(SUMIFS(I.QTBH!BI:BI,I.QTBH!$C:$C,$D21)=1,"TS,KL",""))</f>
        <v/>
      </c>
      <c r="Q21" s="19" t="str">
        <f ca="1">IF(SUMIFS(I.QTBH!BJ:BJ,I.QTBH!$C:$C,$D21)&gt;1,SUMIFS(I.QTBH!AJ:AJ,I.QTBH!$C:$C,$D21),
IF(SUMIFS(I.QTBH!BJ:BJ,I.QTBH!$C:$C,$D21)=1,"TS,KL",""))</f>
        <v/>
      </c>
      <c r="R21" s="19" t="str">
        <f ca="1">IF(SUMIFS(I.QTBH!BK:BK,I.QTBH!$C:$C,$D21)&gt;1,SUMIFS(I.QTBH!AK:AK,I.QTBH!$C:$C,$D21),
IF(SUMIFS(I.QTBH!BK:BK,I.QTBH!$C:$C,$D21)=1,"TS,KL",""))</f>
        <v/>
      </c>
      <c r="S21" s="19" t="str">
        <f ca="1">IF(SUMIFS(I.QTBH!BL:BL,I.QTBH!$C:$C,$D21)&gt;1,SUMIFS(I.QTBH!AL:AL,I.QTBH!$C:$C,$D21),
IF(SUMIFS(I.QTBH!BL:BL,I.QTBH!$C:$C,$D21)=1,"TS,KL",""))</f>
        <v/>
      </c>
      <c r="T21" s="126" t="str">
        <f ca="1">IFERROR(INDEX(I.QTBH!O:O,MATCH($D21,I.QTBH!$C:$C,0),1),"")</f>
        <v/>
      </c>
      <c r="U21" s="234" t="str">
        <f t="shared" ca="1" si="1"/>
        <v/>
      </c>
      <c r="V21" s="183"/>
    </row>
    <row r="22" spans="2:22" s="4" customFormat="1" ht="15" customHeight="1" x14ac:dyDescent="0.25">
      <c r="B22" s="182"/>
      <c r="C22" s="7">
        <f t="shared" si="0"/>
        <v>11</v>
      </c>
      <c r="D22" s="34" t="str" cm="1">
        <f t="array" aca="1" ref="D22" ca="1">IFERROR(INDEX(INDIRECT(I.QTBH!$C$6),MATCH(1,
(COUNTIF($D$11:D21,INDIRECT(I.QTBH!$C$6))=0)*
(INDIRECT(I.QTBH!$F$6)&lt;&gt;"OFF")*
(INDIRECT(I.QTBH!$P$6)="Không"),0),1),"")</f>
        <v/>
      </c>
      <c r="E22" s="35" t="str">
        <f ca="1">IFERROR(INDEX(I.QTBH!D:D,MATCH(D22,I.QTBH!C:C,0),1),"")</f>
        <v/>
      </c>
      <c r="F22" s="36" t="str">
        <f ca="1">IFERROR(INDEX(I.QTBH!B:B,MATCH(D22,I.QTBH!C:C,0),1),"")</f>
        <v/>
      </c>
      <c r="G22" s="19" t="str">
        <f ca="1">IF(SUMIFS(I.QTBH!AZ:AZ,I.QTBH!$C:$C,$D22)&gt;1,SUMIFS(I.QTBH!Z:Z,I.QTBH!$C:$C,$D22),
IF(SUMIFS(I.QTBH!AZ:AZ,I.QTBH!$C:$C,$D22)=1,"TS,KL",""))</f>
        <v/>
      </c>
      <c r="H22" s="19" t="str">
        <f ca="1">IF(SUMIFS(I.QTBH!BA:BA,I.QTBH!$C:$C,$D22)&gt;1,SUMIFS(I.QTBH!AA:AA,I.QTBH!$C:$C,$D22),
IF(SUMIFS(I.QTBH!BA:BA,I.QTBH!$C:$C,$D22)=1,"TS,KL",""))</f>
        <v/>
      </c>
      <c r="I22" s="19" t="str">
        <f ca="1">IF(SUMIFS(I.QTBH!BB:BB,I.QTBH!$C:$C,$D22)&gt;1,SUMIFS(I.QTBH!AB:AB,I.QTBH!$C:$C,$D22),
IF(SUMIFS(I.QTBH!BB:BB,I.QTBH!$C:$C,$D22)=1,"TS,KL",""))</f>
        <v/>
      </c>
      <c r="J22" s="19" t="str">
        <f ca="1">IF(SUMIFS(I.QTBH!BC:BC,I.QTBH!$C:$C,$D22)&gt;1,SUMIFS(I.QTBH!AC:AC,I.QTBH!$C:$C,$D22),
IF(SUMIFS(I.QTBH!BC:BC,I.QTBH!$C:$C,$D22)=1,"TS,KL",""))</f>
        <v/>
      </c>
      <c r="K22" s="19" t="str">
        <f ca="1">IF(SUMIFS(I.QTBH!BD:BD,I.QTBH!$C:$C,$D22)&gt;1,SUMIFS(I.QTBH!AD:AD,I.QTBH!$C:$C,$D22),
IF(SUMIFS(I.QTBH!BD:BD,I.QTBH!$C:$C,$D22)=1,"TS,KL",""))</f>
        <v/>
      </c>
      <c r="L22" s="19" t="str">
        <f ca="1">IF(SUMIFS(I.QTBH!BE:BE,I.QTBH!$C:$C,$D22)&gt;1,SUMIFS(I.QTBH!AE:AE,I.QTBH!$C:$C,$D22),
IF(SUMIFS(I.QTBH!BE:BE,I.QTBH!$C:$C,$D22)=1,"TS,KL",""))</f>
        <v/>
      </c>
      <c r="M22" s="19" t="str">
        <f ca="1">IF(SUMIFS(I.QTBH!BF:BF,I.QTBH!$C:$C,$D22)&gt;1,SUMIFS(I.QTBH!AF:AF,I.QTBH!$C:$C,$D22),
IF(SUMIFS(I.QTBH!BF:BF,I.QTBH!$C:$C,$D22)=1,"TS,KL",""))</f>
        <v/>
      </c>
      <c r="N22" s="19" t="str">
        <f ca="1">IF(SUMIFS(I.QTBH!BG:BG,I.QTBH!$C:$C,$D22)&gt;1,SUMIFS(I.QTBH!AG:AG,I.QTBH!$C:$C,$D22),
IF(SUMIFS(I.QTBH!BG:BG,I.QTBH!$C:$C,$D22)=1,"TS,KL",""))</f>
        <v/>
      </c>
      <c r="O22" s="19" t="str">
        <f ca="1">IF(SUMIFS(I.QTBH!BH:BH,I.QTBH!$C:$C,$D22)&gt;1,SUMIFS(I.QTBH!AH:AH,I.QTBH!$C:$C,$D22),
IF(SUMIFS(I.QTBH!BH:BH,I.QTBH!$C:$C,$D22)=1,"TS,KL",""))</f>
        <v/>
      </c>
      <c r="P22" s="19" t="str">
        <f ca="1">IF(SUMIFS(I.QTBH!BI:BI,I.QTBH!$C:$C,$D22)&gt;1,SUMIFS(I.QTBH!AI:AI,I.QTBH!$C:$C,$D22),
IF(SUMIFS(I.QTBH!BI:BI,I.QTBH!$C:$C,$D22)=1,"TS,KL",""))</f>
        <v/>
      </c>
      <c r="Q22" s="19" t="str">
        <f ca="1">IF(SUMIFS(I.QTBH!BJ:BJ,I.QTBH!$C:$C,$D22)&gt;1,SUMIFS(I.QTBH!AJ:AJ,I.QTBH!$C:$C,$D22),
IF(SUMIFS(I.QTBH!BJ:BJ,I.QTBH!$C:$C,$D22)=1,"TS,KL",""))</f>
        <v/>
      </c>
      <c r="R22" s="19" t="str">
        <f ca="1">IF(SUMIFS(I.QTBH!BK:BK,I.QTBH!$C:$C,$D22)&gt;1,SUMIFS(I.QTBH!AK:AK,I.QTBH!$C:$C,$D22),
IF(SUMIFS(I.QTBH!BK:BK,I.QTBH!$C:$C,$D22)=1,"TS,KL",""))</f>
        <v/>
      </c>
      <c r="S22" s="19" t="str">
        <f ca="1">IF(SUMIFS(I.QTBH!BL:BL,I.QTBH!$C:$C,$D22)&gt;1,SUMIFS(I.QTBH!AL:AL,I.QTBH!$C:$C,$D22),
IF(SUMIFS(I.QTBH!BL:BL,I.QTBH!$C:$C,$D22)=1,"TS,KL",""))</f>
        <v/>
      </c>
      <c r="T22" s="126" t="str">
        <f ca="1">IFERROR(INDEX(I.QTBH!O:O,MATCH($D22,I.QTBH!$C:$C,0),1),"")</f>
        <v/>
      </c>
      <c r="U22" s="234" t="str">
        <f t="shared" ca="1" si="1"/>
        <v/>
      </c>
      <c r="V22" s="183"/>
    </row>
    <row r="23" spans="2:22" s="4" customFormat="1" ht="8.65" customHeight="1" x14ac:dyDescent="0.25">
      <c r="B23" s="182"/>
      <c r="C23" s="206"/>
      <c r="D23" s="206"/>
      <c r="E23" s="206"/>
      <c r="F23" s="206"/>
      <c r="G23" s="206"/>
      <c r="H23" s="206"/>
      <c r="I23" s="206"/>
      <c r="J23" s="206"/>
      <c r="K23" s="206"/>
      <c r="L23" s="206"/>
      <c r="M23" s="206"/>
      <c r="N23" s="206"/>
      <c r="O23" s="206"/>
      <c r="P23" s="206"/>
      <c r="Q23" s="206"/>
      <c r="R23" s="206"/>
      <c r="S23" s="206"/>
      <c r="T23" s="206"/>
      <c r="U23" s="206"/>
      <c r="V23" s="183"/>
    </row>
    <row r="24" spans="2:22" s="4" customFormat="1" ht="19.5" customHeight="1" x14ac:dyDescent="0.25">
      <c r="B24" s="182"/>
      <c r="C24" s="317" t="s">
        <v>24</v>
      </c>
      <c r="D24" s="318"/>
      <c r="E24" s="318"/>
      <c r="F24" s="318"/>
      <c r="G24" s="318"/>
      <c r="H24" s="318"/>
      <c r="I24" s="318"/>
      <c r="J24" s="318"/>
      <c r="K24" s="318"/>
      <c r="L24" s="318"/>
      <c r="M24" s="318"/>
      <c r="N24" s="318"/>
      <c r="O24" s="318"/>
      <c r="P24" s="318"/>
      <c r="Q24" s="318"/>
      <c r="R24" s="318"/>
      <c r="S24" s="318"/>
      <c r="T24" s="318"/>
      <c r="U24" s="319"/>
      <c r="V24" s="183"/>
    </row>
    <row r="25" spans="2:22" s="4" customFormat="1" ht="15" customHeight="1" x14ac:dyDescent="0.25">
      <c r="B25" s="182"/>
      <c r="C25" s="7">
        <f>ROW()-ROW($C$24)</f>
        <v>1</v>
      </c>
      <c r="D25" s="37" t="str" cm="1">
        <f t="array" aca="1" ref="D25" ca="1">IFERROR(INDEX(INDIRECT(I.QTBH!$C$6),MATCH(1,
(COUNTIF($D$24:D24,INDIRECT(I.QTBH!$C$6))=0)*
(INDIRECT(I.QTBH!$P$6)="Có"),0),1),"")</f>
        <v>NVXXX</v>
      </c>
      <c r="E25" s="35" t="str">
        <f ca="1">IFERROR(INDEX(I.QTBH!D:D,MATCH(D25,I.QTBH!C:C,0),1),"")</f>
        <v>Nguyễn Thị B</v>
      </c>
      <c r="F25" s="36" t="str">
        <f ca="1">IFERROR(INDEX(I.QTBH!B:B,MATCH(D25,I.QTBH!C:C,0),1),"")</f>
        <v>Phòng Kinh doanh</v>
      </c>
      <c r="G25" s="19" t="str">
        <f ca="1">IF(SUMIFS(I.QTBH!AZ:AZ,I.QTBH!$C:$C,$D25)&gt;1,SUMIFS(I.QTBH!Z:Z,I.QTBH!$C:$C,$D25),
IF(SUMIFS(I.QTBH!AZ:AZ,I.QTBH!$C:$C,$D25)=1,"TS,KL",""))</f>
        <v/>
      </c>
      <c r="H25" s="19">
        <f ca="1">IF(SUMIFS(I.QTBH!BA:BA,I.QTBH!$C:$C,$D25)&gt;1,SUMIFS(I.QTBH!AA:AA,I.QTBH!$C:$C,$D25),
IF(SUMIFS(I.QTBH!BA:BA,I.QTBH!$C:$C,$D25)=1,"TS,KL",""))</f>
        <v>5000000</v>
      </c>
      <c r="I25" s="19">
        <f ca="1">IF(SUMIFS(I.QTBH!BB:BB,I.QTBH!$C:$C,$D25)&gt;1,SUMIFS(I.QTBH!AB:AB,I.QTBH!$C:$C,$D25),
IF(SUMIFS(I.QTBH!BB:BB,I.QTBH!$C:$C,$D25)=1,"TS,KL",""))</f>
        <v>5000000</v>
      </c>
      <c r="J25" s="19">
        <f ca="1">IF(SUMIFS(I.QTBH!BC:BC,I.QTBH!$C:$C,$D25)&gt;1,SUMIFS(I.QTBH!AC:AC,I.QTBH!$C:$C,$D25),
IF(SUMIFS(I.QTBH!BC:BC,I.QTBH!$C:$C,$D25)=1,"TS,KL",""))</f>
        <v>5000000</v>
      </c>
      <c r="K25" s="19">
        <f ca="1">IF(SUMIFS(I.QTBH!BD:BD,I.QTBH!$C:$C,$D25)&gt;1,SUMIFS(I.QTBH!AD:AD,I.QTBH!$C:$C,$D25),
IF(SUMIFS(I.QTBH!BD:BD,I.QTBH!$C:$C,$D25)=1,"TS,KL",""))</f>
        <v>5000000</v>
      </c>
      <c r="L25" s="19">
        <f ca="1">IF(SUMIFS(I.QTBH!BE:BE,I.QTBH!$C:$C,$D25)&gt;1,SUMIFS(I.QTBH!AE:AE,I.QTBH!$C:$C,$D25),
IF(SUMIFS(I.QTBH!BE:BE,I.QTBH!$C:$C,$D25)=1,"TS,KL",""))</f>
        <v>5000000</v>
      </c>
      <c r="M25" s="19">
        <f ca="1">IF(SUMIFS(I.QTBH!BF:BF,I.QTBH!$C:$C,$D25)&gt;1,SUMIFS(I.QTBH!AF:AF,I.QTBH!$C:$C,$D25),
IF(SUMIFS(I.QTBH!BF:BF,I.QTBH!$C:$C,$D25)=1,"TS,KL",""))</f>
        <v>5000000</v>
      </c>
      <c r="N25" s="19">
        <f ca="1">IF(SUMIFS(I.QTBH!BG:BG,I.QTBH!$C:$C,$D25)&gt;1,SUMIFS(I.QTBH!AG:AG,I.QTBH!$C:$C,$D25),
IF(SUMIFS(I.QTBH!BG:BG,I.QTBH!$C:$C,$D25)=1,"TS,KL",""))</f>
        <v>5000000</v>
      </c>
      <c r="O25" s="19">
        <f ca="1">IF(SUMIFS(I.QTBH!BH:BH,I.QTBH!$C:$C,$D25)&gt;1,SUMIFS(I.QTBH!AH:AH,I.QTBH!$C:$C,$D25),
IF(SUMIFS(I.QTBH!BH:BH,I.QTBH!$C:$C,$D25)=1,"TS,KL",""))</f>
        <v>5000000</v>
      </c>
      <c r="P25" s="19">
        <f ca="1">IF(SUMIFS(I.QTBH!BI:BI,I.QTBH!$C:$C,$D25)&gt;1,SUMIFS(I.QTBH!AI:AI,I.QTBH!$C:$C,$D25),
IF(SUMIFS(I.QTBH!BI:BI,I.QTBH!$C:$C,$D25)=1,"TS,KL",""))</f>
        <v>5000000</v>
      </c>
      <c r="Q25" s="19">
        <f ca="1">IF(SUMIFS(I.QTBH!BJ:BJ,I.QTBH!$C:$C,$D25)&gt;1,SUMIFS(I.QTBH!AJ:AJ,I.QTBH!$C:$C,$D25),
IF(SUMIFS(I.QTBH!BJ:BJ,I.QTBH!$C:$C,$D25)=1,"TS,KL",""))</f>
        <v>5000000</v>
      </c>
      <c r="R25" s="19" t="str">
        <f ca="1">IF(SUMIFS(I.QTBH!BK:BK,I.QTBH!$C:$C,$D25)&gt;1,SUMIFS(I.QTBH!AK:AK,I.QTBH!$C:$C,$D25),
IF(SUMIFS(I.QTBH!BK:BK,I.QTBH!$C:$C,$D25)=1,"TS,KL",""))</f>
        <v/>
      </c>
      <c r="S25" s="19" t="str">
        <f ca="1">IF(SUMIFS(I.QTBH!BL:BL,I.QTBH!$C:$C,$D25)&gt;1,SUMIFS(I.QTBH!AL:AL,I.QTBH!$C:$C,$D25),
IF(SUMIFS(I.QTBH!BL:BL,I.QTBH!$C:$C,$D25)=1,"TS,KL",""))</f>
        <v/>
      </c>
      <c r="T25" s="126" t="str">
        <f ca="1">IFERROR(INDEX(I.QTBH!O:O,MATCH($D25,I.QTBH!$C:$C,0),1),"")</f>
        <v>NLĐ đóng hết</v>
      </c>
      <c r="U25" s="234">
        <f t="shared" ref="U25:U27" ca="1" si="2">IFERROR(INDEX($G25:$S25,1,MATCH($H$5,$G$10:$S$10,0))*32%,"")</f>
        <v>1600000</v>
      </c>
      <c r="V25" s="184"/>
    </row>
    <row r="26" spans="2:22" s="4" customFormat="1" ht="15" customHeight="1" x14ac:dyDescent="0.25">
      <c r="B26" s="182"/>
      <c r="C26" s="7">
        <f>ROW()-ROW($C$24)</f>
        <v>2</v>
      </c>
      <c r="D26" s="37" t="str" cm="1">
        <f t="array" aca="1" ref="D26" ca="1">IFERROR(INDEX(INDIRECT(I.QTBH!$C$6),MATCH(1,
(COUNTIF($D$24:D25,INDIRECT(I.QTBH!$C$6))=0)*
(INDIRECT(I.QTBH!$P$6)="Có"),0),1),"")</f>
        <v/>
      </c>
      <c r="E26" s="35" t="str">
        <f ca="1">IFERROR(INDEX(I.QTBH!D:D,MATCH(D26,I.QTBH!C:C,0),1),"")</f>
        <v/>
      </c>
      <c r="F26" s="36" t="str">
        <f ca="1">IFERROR(INDEX(I.QTBH!B:B,MATCH(D26,I.QTBH!C:C,0),1),"")</f>
        <v/>
      </c>
      <c r="G26" s="19" t="str">
        <f ca="1">IF(SUMIFS(I.QTBH!AZ:AZ,I.QTBH!$C:$C,$D26)&gt;1,SUMIFS(I.QTBH!Z:Z,I.QTBH!$C:$C,$D26),
IF(SUMIFS(I.QTBH!AZ:AZ,I.QTBH!$C:$C,$D26)=1,"TS,KL",""))</f>
        <v/>
      </c>
      <c r="H26" s="19" t="str">
        <f ca="1">IF(SUMIFS(I.QTBH!BA:BA,I.QTBH!$C:$C,$D26)&gt;1,SUMIFS(I.QTBH!AA:AA,I.QTBH!$C:$C,$D26),
IF(SUMIFS(I.QTBH!BA:BA,I.QTBH!$C:$C,$D26)=1,"TS,KL",""))</f>
        <v/>
      </c>
      <c r="I26" s="19" t="str">
        <f ca="1">IF(SUMIFS(I.QTBH!BB:BB,I.QTBH!$C:$C,$D26)&gt;1,SUMIFS(I.QTBH!AB:AB,I.QTBH!$C:$C,$D26),
IF(SUMIFS(I.QTBH!BB:BB,I.QTBH!$C:$C,$D26)=1,"TS,KL",""))</f>
        <v/>
      </c>
      <c r="J26" s="19" t="str">
        <f ca="1">IF(SUMIFS(I.QTBH!BC:BC,I.QTBH!$C:$C,$D26)&gt;1,SUMIFS(I.QTBH!AC:AC,I.QTBH!$C:$C,$D26),
IF(SUMIFS(I.QTBH!BC:BC,I.QTBH!$C:$C,$D26)=1,"TS,KL",""))</f>
        <v/>
      </c>
      <c r="K26" s="19" t="str">
        <f ca="1">IF(SUMIFS(I.QTBH!BD:BD,I.QTBH!$C:$C,$D26)&gt;1,SUMIFS(I.QTBH!AD:AD,I.QTBH!$C:$C,$D26),
IF(SUMIFS(I.QTBH!BD:BD,I.QTBH!$C:$C,$D26)=1,"TS,KL",""))</f>
        <v/>
      </c>
      <c r="L26" s="19" t="str">
        <f ca="1">IF(SUMIFS(I.QTBH!BE:BE,I.QTBH!$C:$C,$D26)&gt;1,SUMIFS(I.QTBH!AE:AE,I.QTBH!$C:$C,$D26),
IF(SUMIFS(I.QTBH!BE:BE,I.QTBH!$C:$C,$D26)=1,"TS,KL",""))</f>
        <v/>
      </c>
      <c r="M26" s="19" t="str">
        <f ca="1">IF(SUMIFS(I.QTBH!BF:BF,I.QTBH!$C:$C,$D26)&gt;1,SUMIFS(I.QTBH!AF:AF,I.QTBH!$C:$C,$D26),
IF(SUMIFS(I.QTBH!BF:BF,I.QTBH!$C:$C,$D26)=1,"TS,KL",""))</f>
        <v/>
      </c>
      <c r="N26" s="19" t="str">
        <f ca="1">IF(SUMIFS(I.QTBH!BG:BG,I.QTBH!$C:$C,$D26)&gt;1,SUMIFS(I.QTBH!AG:AG,I.QTBH!$C:$C,$D26),
IF(SUMIFS(I.QTBH!BG:BG,I.QTBH!$C:$C,$D26)=1,"TS,KL",""))</f>
        <v/>
      </c>
      <c r="O26" s="19" t="str">
        <f ca="1">IF(SUMIFS(I.QTBH!BH:BH,I.QTBH!$C:$C,$D26)&gt;1,SUMIFS(I.QTBH!AH:AH,I.QTBH!$C:$C,$D26),
IF(SUMIFS(I.QTBH!BH:BH,I.QTBH!$C:$C,$D26)=1,"TS,KL",""))</f>
        <v/>
      </c>
      <c r="P26" s="19" t="str">
        <f ca="1">IF(SUMIFS(I.QTBH!BI:BI,I.QTBH!$C:$C,$D26)&gt;1,SUMIFS(I.QTBH!AI:AI,I.QTBH!$C:$C,$D26),
IF(SUMIFS(I.QTBH!BI:BI,I.QTBH!$C:$C,$D26)=1,"TS,KL",""))</f>
        <v/>
      </c>
      <c r="Q26" s="19" t="str">
        <f ca="1">IF(SUMIFS(I.QTBH!BJ:BJ,I.QTBH!$C:$C,$D26)&gt;1,SUMIFS(I.QTBH!AJ:AJ,I.QTBH!$C:$C,$D26),
IF(SUMIFS(I.QTBH!BJ:BJ,I.QTBH!$C:$C,$D26)=1,"TS,KL",""))</f>
        <v/>
      </c>
      <c r="R26" s="19" t="str">
        <f ca="1">IF(SUMIFS(I.QTBH!BK:BK,I.QTBH!$C:$C,$D26)&gt;1,SUMIFS(I.QTBH!AK:AK,I.QTBH!$C:$C,$D26),
IF(SUMIFS(I.QTBH!BK:BK,I.QTBH!$C:$C,$D26)=1,"TS,KL",""))</f>
        <v/>
      </c>
      <c r="S26" s="19" t="str">
        <f ca="1">IF(SUMIFS(I.QTBH!BL:BL,I.QTBH!$C:$C,$D26)&gt;1,SUMIFS(I.QTBH!AL:AL,I.QTBH!$C:$C,$D26),
IF(SUMIFS(I.QTBH!BL:BL,I.QTBH!$C:$C,$D26)=1,"TS,KL",""))</f>
        <v/>
      </c>
      <c r="T26" s="126" t="str">
        <f ca="1">IFERROR(INDEX(I.QTBH!O:O,MATCH($D26,I.QTBH!$C:$C,0),1),"")</f>
        <v/>
      </c>
      <c r="U26" s="234" t="str">
        <f t="shared" ca="1" si="2"/>
        <v/>
      </c>
      <c r="V26" s="185"/>
    </row>
    <row r="27" spans="2:22" s="4" customFormat="1" ht="15" customHeight="1" x14ac:dyDescent="0.25">
      <c r="B27" s="182"/>
      <c r="C27" s="7">
        <f>ROW()-ROW($C$24)</f>
        <v>3</v>
      </c>
      <c r="D27" s="37" t="str" cm="1">
        <f t="array" aca="1" ref="D27" ca="1">IFERROR(INDEX(INDIRECT(I.QTBH!$C$6),MATCH(1,
(COUNTIF($D$24:D26,INDIRECT(I.QTBH!$C$6))=0)*
(INDIRECT(I.QTBH!$P$6)="Có"),0),1),"")</f>
        <v/>
      </c>
      <c r="E27" s="35" t="str">
        <f ca="1">IFERROR(INDEX(I.QTBH!D:D,MATCH(D27,I.QTBH!C:C,0),1),"")</f>
        <v/>
      </c>
      <c r="F27" s="36" t="str">
        <f ca="1">IFERROR(INDEX(I.QTBH!B:B,MATCH(D27,I.QTBH!C:C,0),1),"")</f>
        <v/>
      </c>
      <c r="G27" s="19" t="str">
        <f ca="1">IF(SUMIFS(I.QTBH!AZ:AZ,I.QTBH!$C:$C,$D27)&gt;1,SUMIFS(I.QTBH!Z:Z,I.QTBH!$C:$C,$D27),
IF(SUMIFS(I.QTBH!AZ:AZ,I.QTBH!$C:$C,$D27)=1,"TS,KL",""))</f>
        <v/>
      </c>
      <c r="H27" s="19" t="str">
        <f ca="1">IF(SUMIFS(I.QTBH!BA:BA,I.QTBH!$C:$C,$D27)&gt;1,SUMIFS(I.QTBH!AA:AA,I.QTBH!$C:$C,$D27),
IF(SUMIFS(I.QTBH!BA:BA,I.QTBH!$C:$C,$D27)=1,"TS,KL",""))</f>
        <v/>
      </c>
      <c r="I27" s="19" t="str">
        <f ca="1">IF(SUMIFS(I.QTBH!BB:BB,I.QTBH!$C:$C,$D27)&gt;1,SUMIFS(I.QTBH!AB:AB,I.QTBH!$C:$C,$D27),
IF(SUMIFS(I.QTBH!BB:BB,I.QTBH!$C:$C,$D27)=1,"TS,KL",""))</f>
        <v/>
      </c>
      <c r="J27" s="19" t="str">
        <f ca="1">IF(SUMIFS(I.QTBH!BC:BC,I.QTBH!$C:$C,$D27)&gt;1,SUMIFS(I.QTBH!AC:AC,I.QTBH!$C:$C,$D27),
IF(SUMIFS(I.QTBH!BC:BC,I.QTBH!$C:$C,$D27)=1,"TS,KL",""))</f>
        <v/>
      </c>
      <c r="K27" s="19" t="str">
        <f ca="1">IF(SUMIFS(I.QTBH!BD:BD,I.QTBH!$C:$C,$D27)&gt;1,SUMIFS(I.QTBH!AD:AD,I.QTBH!$C:$C,$D27),
IF(SUMIFS(I.QTBH!BD:BD,I.QTBH!$C:$C,$D27)=1,"TS,KL",""))</f>
        <v/>
      </c>
      <c r="L27" s="19" t="str">
        <f ca="1">IF(SUMIFS(I.QTBH!BE:BE,I.QTBH!$C:$C,$D27)&gt;1,SUMIFS(I.QTBH!AE:AE,I.QTBH!$C:$C,$D27),
IF(SUMIFS(I.QTBH!BE:BE,I.QTBH!$C:$C,$D27)=1,"TS,KL",""))</f>
        <v/>
      </c>
      <c r="M27" s="19" t="str">
        <f ca="1">IF(SUMIFS(I.QTBH!BF:BF,I.QTBH!$C:$C,$D27)&gt;1,SUMIFS(I.QTBH!AF:AF,I.QTBH!$C:$C,$D27),
IF(SUMIFS(I.QTBH!BF:BF,I.QTBH!$C:$C,$D27)=1,"TS,KL",""))</f>
        <v/>
      </c>
      <c r="N27" s="19" t="str">
        <f ca="1">IF(SUMIFS(I.QTBH!BG:BG,I.QTBH!$C:$C,$D27)&gt;1,SUMIFS(I.QTBH!AG:AG,I.QTBH!$C:$C,$D27),
IF(SUMIFS(I.QTBH!BG:BG,I.QTBH!$C:$C,$D27)=1,"TS,KL",""))</f>
        <v/>
      </c>
      <c r="O27" s="19" t="str">
        <f ca="1">IF(SUMIFS(I.QTBH!BH:BH,I.QTBH!$C:$C,$D27)&gt;1,SUMIFS(I.QTBH!AH:AH,I.QTBH!$C:$C,$D27),
IF(SUMIFS(I.QTBH!BH:BH,I.QTBH!$C:$C,$D27)=1,"TS,KL",""))</f>
        <v/>
      </c>
      <c r="P27" s="19" t="str">
        <f ca="1">IF(SUMIFS(I.QTBH!BI:BI,I.QTBH!$C:$C,$D27)&gt;1,SUMIFS(I.QTBH!AI:AI,I.QTBH!$C:$C,$D27),
IF(SUMIFS(I.QTBH!BI:BI,I.QTBH!$C:$C,$D27)=1,"TS,KL",""))</f>
        <v/>
      </c>
      <c r="Q27" s="19" t="str">
        <f ca="1">IF(SUMIFS(I.QTBH!BJ:BJ,I.QTBH!$C:$C,$D27)&gt;1,SUMIFS(I.QTBH!AJ:AJ,I.QTBH!$C:$C,$D27),
IF(SUMIFS(I.QTBH!BJ:BJ,I.QTBH!$C:$C,$D27)=1,"TS,KL",""))</f>
        <v/>
      </c>
      <c r="R27" s="19" t="str">
        <f ca="1">IF(SUMIFS(I.QTBH!BK:BK,I.QTBH!$C:$C,$D27)&gt;1,SUMIFS(I.QTBH!AK:AK,I.QTBH!$C:$C,$D27),
IF(SUMIFS(I.QTBH!BK:BK,I.QTBH!$C:$C,$D27)=1,"TS,KL",""))</f>
        <v/>
      </c>
      <c r="S27" s="19" t="str">
        <f ca="1">IF(SUMIFS(I.QTBH!BL:BL,I.QTBH!$C:$C,$D27)&gt;1,SUMIFS(I.QTBH!AL:AL,I.QTBH!$C:$C,$D27),
IF(SUMIFS(I.QTBH!BL:BL,I.QTBH!$C:$C,$D27)=1,"TS,KL",""))</f>
        <v/>
      </c>
      <c r="T27" s="126" t="str">
        <f ca="1">IFERROR(INDEX(I.QTBH!O:O,MATCH($D27,I.QTBH!$C:$C,0),1),"")</f>
        <v/>
      </c>
      <c r="U27" s="234" t="str">
        <f t="shared" ca="1" si="2"/>
        <v/>
      </c>
      <c r="V27" s="183"/>
    </row>
    <row r="28" spans="2:22" s="4" customFormat="1" ht="8.65" customHeight="1" x14ac:dyDescent="0.25">
      <c r="B28" s="182"/>
      <c r="C28" s="206"/>
      <c r="D28" s="206"/>
      <c r="E28" s="206"/>
      <c r="F28" s="206"/>
      <c r="G28" s="206"/>
      <c r="H28" s="206"/>
      <c r="I28" s="206"/>
      <c r="J28" s="206"/>
      <c r="K28" s="206"/>
      <c r="L28" s="206"/>
      <c r="M28" s="206"/>
      <c r="N28" s="206"/>
      <c r="O28" s="206"/>
      <c r="P28" s="206"/>
      <c r="Q28" s="206"/>
      <c r="R28" s="206"/>
      <c r="S28" s="206"/>
      <c r="T28" s="206"/>
      <c r="U28" s="206"/>
      <c r="V28" s="183"/>
    </row>
    <row r="29" spans="2:22" s="4" customFormat="1" ht="19.5" customHeight="1" x14ac:dyDescent="0.25">
      <c r="B29" s="182"/>
      <c r="C29" s="317" t="s">
        <v>25</v>
      </c>
      <c r="D29" s="318"/>
      <c r="E29" s="318"/>
      <c r="F29" s="318"/>
      <c r="G29" s="318"/>
      <c r="H29" s="318"/>
      <c r="I29" s="318"/>
      <c r="J29" s="318"/>
      <c r="K29" s="318"/>
      <c r="L29" s="318"/>
      <c r="M29" s="318"/>
      <c r="N29" s="318"/>
      <c r="O29" s="318"/>
      <c r="P29" s="318"/>
      <c r="Q29" s="318"/>
      <c r="R29" s="318"/>
      <c r="S29" s="318"/>
      <c r="T29" s="318"/>
      <c r="U29" s="319"/>
      <c r="V29" s="183"/>
    </row>
    <row r="30" spans="2:22" s="4" customFormat="1" ht="15" customHeight="1" x14ac:dyDescent="0.25">
      <c r="B30" s="182"/>
      <c r="C30" s="7">
        <f>ROW()-ROW($C$29)</f>
        <v>1</v>
      </c>
      <c r="D30" s="34" t="str" cm="1">
        <f t="array" aca="1" ref="D30" ca="1">IFERROR(INDEX(INDIRECT(I.QTBH!$C$6),MATCH(1,
(COUNTIF($D$29:D29,INDIRECT(I.QTBH!$C$6))=0)*
(INDIRECT(I.QTBH!$G$6)="OFF")*
(INDIRECT(I.QTBH!$P$6)="Không"),0),1),"")</f>
        <v>NV003</v>
      </c>
      <c r="E30" s="35" t="str">
        <f ca="1">IFERROR(INDEX(I.QTBH!D:D,MATCH(D30,I.QTBH!C:C,0),1),"")</f>
        <v>Sài Văn D</v>
      </c>
      <c r="F30" s="36" t="str">
        <f ca="1">IFERROR(INDEX(I.QTBH!B:B,MATCH(D30,I.QTBH!C:C,0),1),"")</f>
        <v>Phòng Kinh doanh</v>
      </c>
      <c r="G30" s="19" t="str">
        <f ca="1">IF(SUMIFS(I.QTBH!AZ:AZ,I.QTBH!$C:$C,$D30)&gt;1,SUMIFS(I.QTBH!Z:Z,I.QTBH!$C:$C,$D30),
IF(SUMIFS(I.QTBH!AZ:AZ,I.QTBH!$C:$C,$D30)=1,"TS,KL",""))</f>
        <v/>
      </c>
      <c r="H30" s="19">
        <f ca="1">IF(SUMIFS(I.QTBH!BA:BA,I.QTBH!$C:$C,$D30)&gt;1,SUMIFS(I.QTBH!AA:AA,I.QTBH!$C:$C,$D30),
IF(SUMIFS(I.QTBH!BA:BA,I.QTBH!$C:$C,$D30)=1,"TS,KL",""))</f>
        <v>8000000</v>
      </c>
      <c r="I30" s="19">
        <f ca="1">IF(SUMIFS(I.QTBH!BB:BB,I.QTBH!$C:$C,$D30)&gt;1,SUMIFS(I.QTBH!AB:AB,I.QTBH!$C:$C,$D30),
IF(SUMIFS(I.QTBH!BB:BB,I.QTBH!$C:$C,$D30)=1,"TS,KL",""))</f>
        <v>8000000</v>
      </c>
      <c r="J30" s="19" t="str">
        <f ca="1">IF(SUMIFS(I.QTBH!BC:BC,I.QTBH!$C:$C,$D30)&gt;1,SUMIFS(I.QTBH!AC:AC,I.QTBH!$C:$C,$D30),
IF(SUMIFS(I.QTBH!BC:BC,I.QTBH!$C:$C,$D30)=1,"TS,KL",""))</f>
        <v/>
      </c>
      <c r="K30" s="19" t="str">
        <f ca="1">IF(SUMIFS(I.QTBH!BD:BD,I.QTBH!$C:$C,$D30)&gt;1,SUMIFS(I.QTBH!AD:AD,I.QTBH!$C:$C,$D30),
IF(SUMIFS(I.QTBH!BD:BD,I.QTBH!$C:$C,$D30)=1,"TS,KL",""))</f>
        <v/>
      </c>
      <c r="L30" s="19" t="str">
        <f ca="1">IF(SUMIFS(I.QTBH!BE:BE,I.QTBH!$C:$C,$D30)&gt;1,SUMIFS(I.QTBH!AE:AE,I.QTBH!$C:$C,$D30),
IF(SUMIFS(I.QTBH!BE:BE,I.QTBH!$C:$C,$D30)=1,"TS,KL",""))</f>
        <v/>
      </c>
      <c r="M30" s="19" t="str">
        <f ca="1">IF(SUMIFS(I.QTBH!BF:BF,I.QTBH!$C:$C,$D30)&gt;1,SUMIFS(I.QTBH!AF:AF,I.QTBH!$C:$C,$D30),
IF(SUMIFS(I.QTBH!BF:BF,I.QTBH!$C:$C,$D30)=1,"TS,KL",""))</f>
        <v/>
      </c>
      <c r="N30" s="19" t="str">
        <f ca="1">IF(SUMIFS(I.QTBH!BG:BG,I.QTBH!$C:$C,$D30)&gt;1,SUMIFS(I.QTBH!AG:AG,I.QTBH!$C:$C,$D30),
IF(SUMIFS(I.QTBH!BG:BG,I.QTBH!$C:$C,$D30)=1,"TS,KL",""))</f>
        <v/>
      </c>
      <c r="O30" s="19" t="str">
        <f ca="1">IF(SUMIFS(I.QTBH!BH:BH,I.QTBH!$C:$C,$D30)&gt;1,SUMIFS(I.QTBH!AH:AH,I.QTBH!$C:$C,$D30),
IF(SUMIFS(I.QTBH!BH:BH,I.QTBH!$C:$C,$D30)=1,"TS,KL",""))</f>
        <v/>
      </c>
      <c r="P30" s="19" t="str">
        <f ca="1">IF(SUMIFS(I.QTBH!BI:BI,I.QTBH!$C:$C,$D30)&gt;1,SUMIFS(I.QTBH!AI:AI,I.QTBH!$C:$C,$D30),
IF(SUMIFS(I.QTBH!BI:BI,I.QTBH!$C:$C,$D30)=1,"TS,KL",""))</f>
        <v/>
      </c>
      <c r="Q30" s="19" t="str">
        <f ca="1">IF(SUMIFS(I.QTBH!BJ:BJ,I.QTBH!$C:$C,$D30)&gt;1,SUMIFS(I.QTBH!AJ:AJ,I.QTBH!$C:$C,$D30),
IF(SUMIFS(I.QTBH!BJ:BJ,I.QTBH!$C:$C,$D30)=1,"TS,KL",""))</f>
        <v/>
      </c>
      <c r="R30" s="19" t="str">
        <f ca="1">IF(SUMIFS(I.QTBH!BK:BK,I.QTBH!$C:$C,$D30)&gt;1,SUMIFS(I.QTBH!AK:AK,I.QTBH!$C:$C,$D30),
IF(SUMIFS(I.QTBH!BK:BK,I.QTBH!$C:$C,$D30)=1,"TS,KL",""))</f>
        <v/>
      </c>
      <c r="S30" s="19" t="str">
        <f ca="1">IF(SUMIFS(I.QTBH!BL:BL,I.QTBH!$C:$C,$D30)&gt;1,SUMIFS(I.QTBH!AL:AL,I.QTBH!$C:$C,$D30),
IF(SUMIFS(I.QTBH!BL:BL,I.QTBH!$C:$C,$D30)=1,"TS,KL",""))</f>
        <v/>
      </c>
      <c r="T30" s="126" t="str">
        <f ca="1">IFERROR(INDEX(I.QTBH!O:O,MATCH($D30,I.QTBH!$C:$C,0),1),"")</f>
        <v>2 bên đóng</v>
      </c>
      <c r="U30" s="234" t="str">
        <f t="shared" ref="U30:U35" ca="1" si="3">IFERROR(INDEX($G30:$S30,1,MATCH($H$5,$G$10:$S$10,0))*32%,"")</f>
        <v/>
      </c>
      <c r="V30" s="183"/>
    </row>
    <row r="31" spans="2:22" s="4" customFormat="1" ht="15" customHeight="1" x14ac:dyDescent="0.25">
      <c r="B31" s="182"/>
      <c r="C31" s="7">
        <f>ROW()-ROW($C$29)</f>
        <v>2</v>
      </c>
      <c r="D31" s="34" t="str" cm="1">
        <f t="array" aca="1" ref="D31" ca="1">IFERROR(INDEX(INDIRECT(I.QTBH!$C$6),MATCH(1,
(COUNTIF($D$29:D30,INDIRECT(I.QTBH!$C$6))=0)*
(INDIRECT(I.QTBH!$G$6)="OFF")*
(INDIRECT(I.QTBH!$P$6)="Không"),0),1),"")</f>
        <v/>
      </c>
      <c r="E31" s="35" t="str">
        <f ca="1">IFERROR(INDEX(I.QTBH!D:D,MATCH(D31,I.QTBH!C:C,0),1),"")</f>
        <v/>
      </c>
      <c r="F31" s="36" t="str">
        <f ca="1">IFERROR(INDEX(I.QTBH!B:B,MATCH(D31,I.QTBH!C:C,0),1),"")</f>
        <v/>
      </c>
      <c r="G31" s="19" t="str">
        <f ca="1">IF(SUMIFS(I.QTBH!AZ:AZ,I.QTBH!$C:$C,$D31)&gt;1,SUMIFS(I.QTBH!Z:Z,I.QTBH!$C:$C,$D31),
IF(SUMIFS(I.QTBH!AZ:AZ,I.QTBH!$C:$C,$D31)=1,"TS,KL",""))</f>
        <v/>
      </c>
      <c r="H31" s="19" t="str">
        <f ca="1">IF(SUMIFS(I.QTBH!BA:BA,I.QTBH!$C:$C,$D31)&gt;1,SUMIFS(I.QTBH!AA:AA,I.QTBH!$C:$C,$D31),
IF(SUMIFS(I.QTBH!BA:BA,I.QTBH!$C:$C,$D31)=1,"TS,KL",""))</f>
        <v/>
      </c>
      <c r="I31" s="19" t="str">
        <f ca="1">IF(SUMIFS(I.QTBH!BB:BB,I.QTBH!$C:$C,$D31)&gt;1,SUMIFS(I.QTBH!AB:AB,I.QTBH!$C:$C,$D31),
IF(SUMIFS(I.QTBH!BB:BB,I.QTBH!$C:$C,$D31)=1,"TS,KL",""))</f>
        <v/>
      </c>
      <c r="J31" s="19" t="str">
        <f ca="1">IF(SUMIFS(I.QTBH!BC:BC,I.QTBH!$C:$C,$D31)&gt;1,SUMIFS(I.QTBH!AC:AC,I.QTBH!$C:$C,$D31),
IF(SUMIFS(I.QTBH!BC:BC,I.QTBH!$C:$C,$D31)=1,"TS,KL",""))</f>
        <v/>
      </c>
      <c r="K31" s="19" t="str">
        <f ca="1">IF(SUMIFS(I.QTBH!BD:BD,I.QTBH!$C:$C,$D31)&gt;1,SUMIFS(I.QTBH!AD:AD,I.QTBH!$C:$C,$D31),
IF(SUMIFS(I.QTBH!BD:BD,I.QTBH!$C:$C,$D31)=1,"TS,KL",""))</f>
        <v/>
      </c>
      <c r="L31" s="19" t="str">
        <f ca="1">IF(SUMIFS(I.QTBH!BE:BE,I.QTBH!$C:$C,$D31)&gt;1,SUMIFS(I.QTBH!AE:AE,I.QTBH!$C:$C,$D31),
IF(SUMIFS(I.QTBH!BE:BE,I.QTBH!$C:$C,$D31)=1,"TS,KL",""))</f>
        <v/>
      </c>
      <c r="M31" s="19" t="str">
        <f ca="1">IF(SUMIFS(I.QTBH!BF:BF,I.QTBH!$C:$C,$D31)&gt;1,SUMIFS(I.QTBH!AF:AF,I.QTBH!$C:$C,$D31),
IF(SUMIFS(I.QTBH!BF:BF,I.QTBH!$C:$C,$D31)=1,"TS,KL",""))</f>
        <v/>
      </c>
      <c r="N31" s="19" t="str">
        <f ca="1">IF(SUMIFS(I.QTBH!BG:BG,I.QTBH!$C:$C,$D31)&gt;1,SUMIFS(I.QTBH!AG:AG,I.QTBH!$C:$C,$D31),
IF(SUMIFS(I.QTBH!BG:BG,I.QTBH!$C:$C,$D31)=1,"TS,KL",""))</f>
        <v/>
      </c>
      <c r="O31" s="19" t="str">
        <f ca="1">IF(SUMIFS(I.QTBH!BH:BH,I.QTBH!$C:$C,$D31)&gt;1,SUMIFS(I.QTBH!AH:AH,I.QTBH!$C:$C,$D31),
IF(SUMIFS(I.QTBH!BH:BH,I.QTBH!$C:$C,$D31)=1,"TS,KL",""))</f>
        <v/>
      </c>
      <c r="P31" s="19" t="str">
        <f ca="1">IF(SUMIFS(I.QTBH!BI:BI,I.QTBH!$C:$C,$D31)&gt;1,SUMIFS(I.QTBH!AI:AI,I.QTBH!$C:$C,$D31),
IF(SUMIFS(I.QTBH!BI:BI,I.QTBH!$C:$C,$D31)=1,"TS,KL",""))</f>
        <v/>
      </c>
      <c r="Q31" s="19" t="str">
        <f ca="1">IF(SUMIFS(I.QTBH!BJ:BJ,I.QTBH!$C:$C,$D31)&gt;1,SUMIFS(I.QTBH!AJ:AJ,I.QTBH!$C:$C,$D31),
IF(SUMIFS(I.QTBH!BJ:BJ,I.QTBH!$C:$C,$D31)=1,"TS,KL",""))</f>
        <v/>
      </c>
      <c r="R31" s="19" t="str">
        <f ca="1">IF(SUMIFS(I.QTBH!BK:BK,I.QTBH!$C:$C,$D31)&gt;1,SUMIFS(I.QTBH!AK:AK,I.QTBH!$C:$C,$D31),
IF(SUMIFS(I.QTBH!BK:BK,I.QTBH!$C:$C,$D31)=1,"TS,KL",""))</f>
        <v/>
      </c>
      <c r="S31" s="19" t="str">
        <f ca="1">IF(SUMIFS(I.QTBH!BL:BL,I.QTBH!$C:$C,$D31)&gt;1,SUMIFS(I.QTBH!AL:AL,I.QTBH!$C:$C,$D31),
IF(SUMIFS(I.QTBH!BL:BL,I.QTBH!$C:$C,$D31)=1,"TS,KL",""))</f>
        <v/>
      </c>
      <c r="T31" s="126" t="str">
        <f ca="1">IFERROR(INDEX(I.QTBH!O:O,MATCH($D31,I.QTBH!$C:$C,0),1),"")</f>
        <v/>
      </c>
      <c r="U31" s="234" t="str">
        <f t="shared" ca="1" si="3"/>
        <v/>
      </c>
      <c r="V31" s="183"/>
    </row>
    <row r="32" spans="2:22" s="4" customFormat="1" x14ac:dyDescent="0.25">
      <c r="B32" s="182"/>
      <c r="C32" s="7">
        <f>ROW()-ROW($C$29)</f>
        <v>3</v>
      </c>
      <c r="D32" s="34" t="str" cm="1">
        <f t="array" aca="1" ref="D32" ca="1">IFERROR(INDEX(INDIRECT(I.QTBH!$C$6),MATCH(1,
(COUNTIF($D$29:D31,INDIRECT(I.QTBH!$C$6))=0)*
(INDIRECT(I.QTBH!$G$6)="OFF")*
(INDIRECT(I.QTBH!$P$6)="Không"),0),1),"")</f>
        <v/>
      </c>
      <c r="E32" s="35" t="str">
        <f ca="1">IFERROR(INDEX(I.QTBH!D:D,MATCH(D32,I.QTBH!C:C,0),1),"")</f>
        <v/>
      </c>
      <c r="F32" s="36" t="str">
        <f ca="1">IFERROR(INDEX(I.QTBH!B:B,MATCH(D32,I.QTBH!C:C,0),1),"")</f>
        <v/>
      </c>
      <c r="G32" s="19" t="str">
        <f ca="1">IF(SUMIFS(I.QTBH!AZ:AZ,I.QTBH!$C:$C,$D32)&gt;1,SUMIFS(I.QTBH!Z:Z,I.QTBH!$C:$C,$D32),
IF(SUMIFS(I.QTBH!AZ:AZ,I.QTBH!$C:$C,$D32)=1,"TS,KL",""))</f>
        <v/>
      </c>
      <c r="H32" s="19" t="str">
        <f ca="1">IF(SUMIFS(I.QTBH!BA:BA,I.QTBH!$C:$C,$D32)&gt;1,SUMIFS(I.QTBH!AA:AA,I.QTBH!$C:$C,$D32),
IF(SUMIFS(I.QTBH!BA:BA,I.QTBH!$C:$C,$D32)=1,"TS,KL",""))</f>
        <v/>
      </c>
      <c r="I32" s="19" t="str">
        <f ca="1">IF(SUMIFS(I.QTBH!BB:BB,I.QTBH!$C:$C,$D32)&gt;1,SUMIFS(I.QTBH!AB:AB,I.QTBH!$C:$C,$D32),
IF(SUMIFS(I.QTBH!BB:BB,I.QTBH!$C:$C,$D32)=1,"TS,KL",""))</f>
        <v/>
      </c>
      <c r="J32" s="19" t="str">
        <f ca="1">IF(SUMIFS(I.QTBH!BC:BC,I.QTBH!$C:$C,$D32)&gt;1,SUMIFS(I.QTBH!AC:AC,I.QTBH!$C:$C,$D32),
IF(SUMIFS(I.QTBH!BC:BC,I.QTBH!$C:$C,$D32)=1,"TS,KL",""))</f>
        <v/>
      </c>
      <c r="K32" s="19" t="str">
        <f ca="1">IF(SUMIFS(I.QTBH!BD:BD,I.QTBH!$C:$C,$D32)&gt;1,SUMIFS(I.QTBH!AD:AD,I.QTBH!$C:$C,$D32),
IF(SUMIFS(I.QTBH!BD:BD,I.QTBH!$C:$C,$D32)=1,"TS,KL",""))</f>
        <v/>
      </c>
      <c r="L32" s="19" t="str">
        <f ca="1">IF(SUMIFS(I.QTBH!BE:BE,I.QTBH!$C:$C,$D32)&gt;1,SUMIFS(I.QTBH!AE:AE,I.QTBH!$C:$C,$D32),
IF(SUMIFS(I.QTBH!BE:BE,I.QTBH!$C:$C,$D32)=1,"TS,KL",""))</f>
        <v/>
      </c>
      <c r="M32" s="19" t="str">
        <f ca="1">IF(SUMIFS(I.QTBH!BF:BF,I.QTBH!$C:$C,$D32)&gt;1,SUMIFS(I.QTBH!AF:AF,I.QTBH!$C:$C,$D32),
IF(SUMIFS(I.QTBH!BF:BF,I.QTBH!$C:$C,$D32)=1,"TS,KL",""))</f>
        <v/>
      </c>
      <c r="N32" s="19" t="str">
        <f ca="1">IF(SUMIFS(I.QTBH!BG:BG,I.QTBH!$C:$C,$D32)&gt;1,SUMIFS(I.QTBH!AG:AG,I.QTBH!$C:$C,$D32),
IF(SUMIFS(I.QTBH!BG:BG,I.QTBH!$C:$C,$D32)=1,"TS,KL",""))</f>
        <v/>
      </c>
      <c r="O32" s="19" t="str">
        <f ca="1">IF(SUMIFS(I.QTBH!BH:BH,I.QTBH!$C:$C,$D32)&gt;1,SUMIFS(I.QTBH!AH:AH,I.QTBH!$C:$C,$D32),
IF(SUMIFS(I.QTBH!BH:BH,I.QTBH!$C:$C,$D32)=1,"TS,KL",""))</f>
        <v/>
      </c>
      <c r="P32" s="19" t="str">
        <f ca="1">IF(SUMIFS(I.QTBH!BI:BI,I.QTBH!$C:$C,$D32)&gt;1,SUMIFS(I.QTBH!AI:AI,I.QTBH!$C:$C,$D32),
IF(SUMIFS(I.QTBH!BI:BI,I.QTBH!$C:$C,$D32)=1,"TS,KL",""))</f>
        <v/>
      </c>
      <c r="Q32" s="19" t="str">
        <f ca="1">IF(SUMIFS(I.QTBH!BJ:BJ,I.QTBH!$C:$C,$D32)&gt;1,SUMIFS(I.QTBH!AJ:AJ,I.QTBH!$C:$C,$D32),
IF(SUMIFS(I.QTBH!BJ:BJ,I.QTBH!$C:$C,$D32)=1,"TS,KL",""))</f>
        <v/>
      </c>
      <c r="R32" s="19" t="str">
        <f ca="1">IF(SUMIFS(I.QTBH!BK:BK,I.QTBH!$C:$C,$D32)&gt;1,SUMIFS(I.QTBH!AK:AK,I.QTBH!$C:$C,$D32),
IF(SUMIFS(I.QTBH!BK:BK,I.QTBH!$C:$C,$D32)=1,"TS,KL",""))</f>
        <v/>
      </c>
      <c r="S32" s="19" t="str">
        <f ca="1">IF(SUMIFS(I.QTBH!BL:BL,I.QTBH!$C:$C,$D32)&gt;1,SUMIFS(I.QTBH!AL:AL,I.QTBH!$C:$C,$D32),
IF(SUMIFS(I.QTBH!BL:BL,I.QTBH!$C:$C,$D32)=1,"TS,KL",""))</f>
        <v/>
      </c>
      <c r="T32" s="126" t="str">
        <f ca="1">IFERROR(INDEX(I.QTBH!O:O,MATCH($D32,I.QTBH!$C:$C,0),1),"")</f>
        <v/>
      </c>
      <c r="U32" s="234" t="str">
        <f t="shared" ca="1" si="3"/>
        <v/>
      </c>
      <c r="V32" s="183"/>
    </row>
    <row r="33" spans="2:22" s="4" customFormat="1" ht="15" customHeight="1" x14ac:dyDescent="0.25">
      <c r="B33" s="182"/>
      <c r="C33" s="7">
        <f>ROW()-ROW($C$29)</f>
        <v>4</v>
      </c>
      <c r="D33" s="34" t="str" cm="1">
        <f t="array" aca="1" ref="D33" ca="1">IFERROR(INDEX(INDIRECT(I.QTBH!$C$6),MATCH(1,
(COUNTIF($D$29:D32,INDIRECT(I.QTBH!$C$6))=0)*
(INDIRECT(I.QTBH!$G$6)="OFF")*
(INDIRECT(I.QTBH!$P$6)="Không"),0),1),"")</f>
        <v/>
      </c>
      <c r="E33" s="35" t="str">
        <f ca="1">IFERROR(INDEX(I.QTBH!D:D,MATCH(D33,I.QTBH!C:C,0),1),"")</f>
        <v/>
      </c>
      <c r="F33" s="36" t="str">
        <f ca="1">IFERROR(INDEX(I.QTBH!B:B,MATCH(D33,I.QTBH!C:C,0),1),"")</f>
        <v/>
      </c>
      <c r="G33" s="19" t="str">
        <f ca="1">IF(SUMIFS(I.QTBH!AZ:AZ,I.QTBH!$C:$C,$D33)&gt;1,SUMIFS(I.QTBH!Z:Z,I.QTBH!$C:$C,$D33),
IF(SUMIFS(I.QTBH!AZ:AZ,I.QTBH!$C:$C,$D33)=1,"TS,KL",""))</f>
        <v/>
      </c>
      <c r="H33" s="19" t="str">
        <f ca="1">IF(SUMIFS(I.QTBH!BA:BA,I.QTBH!$C:$C,$D33)&gt;1,SUMIFS(I.QTBH!AA:AA,I.QTBH!$C:$C,$D33),
IF(SUMIFS(I.QTBH!BA:BA,I.QTBH!$C:$C,$D33)=1,"TS,KL",""))</f>
        <v/>
      </c>
      <c r="I33" s="19" t="str">
        <f ca="1">IF(SUMIFS(I.QTBH!BB:BB,I.QTBH!$C:$C,$D33)&gt;1,SUMIFS(I.QTBH!AB:AB,I.QTBH!$C:$C,$D33),
IF(SUMIFS(I.QTBH!BB:BB,I.QTBH!$C:$C,$D33)=1,"TS,KL",""))</f>
        <v/>
      </c>
      <c r="J33" s="19" t="str">
        <f ca="1">IF(SUMIFS(I.QTBH!BC:BC,I.QTBH!$C:$C,$D33)&gt;1,SUMIFS(I.QTBH!AC:AC,I.QTBH!$C:$C,$D33),
IF(SUMIFS(I.QTBH!BC:BC,I.QTBH!$C:$C,$D33)=1,"TS,KL",""))</f>
        <v/>
      </c>
      <c r="K33" s="19" t="str">
        <f ca="1">IF(SUMIFS(I.QTBH!BD:BD,I.QTBH!$C:$C,$D33)&gt;1,SUMIFS(I.QTBH!AD:AD,I.QTBH!$C:$C,$D33),
IF(SUMIFS(I.QTBH!BD:BD,I.QTBH!$C:$C,$D33)=1,"TS,KL",""))</f>
        <v/>
      </c>
      <c r="L33" s="19" t="str">
        <f ca="1">IF(SUMIFS(I.QTBH!BE:BE,I.QTBH!$C:$C,$D33)&gt;1,SUMIFS(I.QTBH!AE:AE,I.QTBH!$C:$C,$D33),
IF(SUMIFS(I.QTBH!BE:BE,I.QTBH!$C:$C,$D33)=1,"TS,KL",""))</f>
        <v/>
      </c>
      <c r="M33" s="19" t="str">
        <f ca="1">IF(SUMIFS(I.QTBH!BF:BF,I.QTBH!$C:$C,$D33)&gt;1,SUMIFS(I.QTBH!AF:AF,I.QTBH!$C:$C,$D33),
IF(SUMIFS(I.QTBH!BF:BF,I.QTBH!$C:$C,$D33)=1,"TS,KL",""))</f>
        <v/>
      </c>
      <c r="N33" s="19" t="str">
        <f ca="1">IF(SUMIFS(I.QTBH!BG:BG,I.QTBH!$C:$C,$D33)&gt;1,SUMIFS(I.QTBH!AG:AG,I.QTBH!$C:$C,$D33),
IF(SUMIFS(I.QTBH!BG:BG,I.QTBH!$C:$C,$D33)=1,"TS,KL",""))</f>
        <v/>
      </c>
      <c r="O33" s="19" t="str">
        <f ca="1">IF(SUMIFS(I.QTBH!BH:BH,I.QTBH!$C:$C,$D33)&gt;1,SUMIFS(I.QTBH!AH:AH,I.QTBH!$C:$C,$D33),
IF(SUMIFS(I.QTBH!BH:BH,I.QTBH!$C:$C,$D33)=1,"TS,KL",""))</f>
        <v/>
      </c>
      <c r="P33" s="19" t="str">
        <f ca="1">IF(SUMIFS(I.QTBH!BI:BI,I.QTBH!$C:$C,$D33)&gt;1,SUMIFS(I.QTBH!AI:AI,I.QTBH!$C:$C,$D33),
IF(SUMIFS(I.QTBH!BI:BI,I.QTBH!$C:$C,$D33)=1,"TS,KL",""))</f>
        <v/>
      </c>
      <c r="Q33" s="19" t="str">
        <f ca="1">IF(SUMIFS(I.QTBH!BJ:BJ,I.QTBH!$C:$C,$D33)&gt;1,SUMIFS(I.QTBH!AJ:AJ,I.QTBH!$C:$C,$D33),
IF(SUMIFS(I.QTBH!BJ:BJ,I.QTBH!$C:$C,$D33)=1,"TS,KL",""))</f>
        <v/>
      </c>
      <c r="R33" s="19" t="str">
        <f ca="1">IF(SUMIFS(I.QTBH!BK:BK,I.QTBH!$C:$C,$D33)&gt;1,SUMIFS(I.QTBH!AK:AK,I.QTBH!$C:$C,$D33),
IF(SUMIFS(I.QTBH!BK:BK,I.QTBH!$C:$C,$D33)=1,"TS,KL",""))</f>
        <v/>
      </c>
      <c r="S33" s="19" t="str">
        <f ca="1">IF(SUMIFS(I.QTBH!BL:BL,I.QTBH!$C:$C,$D33)&gt;1,SUMIFS(I.QTBH!AL:AL,I.QTBH!$C:$C,$D33),
IF(SUMIFS(I.QTBH!BL:BL,I.QTBH!$C:$C,$D33)=1,"TS,KL",""))</f>
        <v/>
      </c>
      <c r="T33" s="126" t="str">
        <f ca="1">IFERROR(INDEX(I.QTBH!O:O,MATCH($D33,I.QTBH!$C:$C,0),1),"")</f>
        <v/>
      </c>
      <c r="U33" s="234" t="str">
        <f t="shared" ca="1" si="3"/>
        <v/>
      </c>
      <c r="V33" s="183"/>
    </row>
    <row r="34" spans="2:22" s="4" customFormat="1" ht="15" customHeight="1" x14ac:dyDescent="0.25">
      <c r="B34" s="182"/>
      <c r="C34" s="7">
        <f t="shared" ref="C34:C35" si="4">ROW()-ROW($C$29)</f>
        <v>5</v>
      </c>
      <c r="D34" s="34" t="str" cm="1">
        <f t="array" aca="1" ref="D34" ca="1">IFERROR(INDEX(INDIRECT(I.QTBH!$C$6),MATCH(1,
(COUNTIF($D$29:D33,INDIRECT(I.QTBH!$C$6))=0)*
(INDIRECT(I.QTBH!$G$6)="OFF")*
(INDIRECT(I.QTBH!$P$6)="Không"),0),1),"")</f>
        <v/>
      </c>
      <c r="E34" s="35" t="str">
        <f ca="1">IFERROR(INDEX(I.QTBH!D:D,MATCH(D34,I.QTBH!C:C,0),1),"")</f>
        <v/>
      </c>
      <c r="F34" s="36" t="str">
        <f ca="1">IFERROR(INDEX(I.QTBH!B:B,MATCH(D34,I.QTBH!C:C,0),1),"")</f>
        <v/>
      </c>
      <c r="G34" s="19" t="str">
        <f ca="1">IF(SUMIFS(I.QTBH!AZ:AZ,I.QTBH!$C:$C,$D34)&gt;1,SUMIFS(I.QTBH!Z:Z,I.QTBH!$C:$C,$D34),
IF(SUMIFS(I.QTBH!AZ:AZ,I.QTBH!$C:$C,$D34)=1,"TS,KL",""))</f>
        <v/>
      </c>
      <c r="H34" s="19" t="str">
        <f ca="1">IF(SUMIFS(I.QTBH!BA:BA,I.QTBH!$C:$C,$D34)&gt;1,SUMIFS(I.QTBH!AA:AA,I.QTBH!$C:$C,$D34),
IF(SUMIFS(I.QTBH!BA:BA,I.QTBH!$C:$C,$D34)=1,"TS,KL",""))</f>
        <v/>
      </c>
      <c r="I34" s="19" t="str">
        <f ca="1">IF(SUMIFS(I.QTBH!BB:BB,I.QTBH!$C:$C,$D34)&gt;1,SUMIFS(I.QTBH!AB:AB,I.QTBH!$C:$C,$D34),
IF(SUMIFS(I.QTBH!BB:BB,I.QTBH!$C:$C,$D34)=1,"TS,KL",""))</f>
        <v/>
      </c>
      <c r="J34" s="19" t="str">
        <f ca="1">IF(SUMIFS(I.QTBH!BC:BC,I.QTBH!$C:$C,$D34)&gt;1,SUMIFS(I.QTBH!AC:AC,I.QTBH!$C:$C,$D34),
IF(SUMIFS(I.QTBH!BC:BC,I.QTBH!$C:$C,$D34)=1,"TS,KL",""))</f>
        <v/>
      </c>
      <c r="K34" s="19" t="str">
        <f ca="1">IF(SUMIFS(I.QTBH!BD:BD,I.QTBH!$C:$C,$D34)&gt;1,SUMIFS(I.QTBH!AD:AD,I.QTBH!$C:$C,$D34),
IF(SUMIFS(I.QTBH!BD:BD,I.QTBH!$C:$C,$D34)=1,"TS,KL",""))</f>
        <v/>
      </c>
      <c r="L34" s="19" t="str">
        <f ca="1">IF(SUMIFS(I.QTBH!BE:BE,I.QTBH!$C:$C,$D34)&gt;1,SUMIFS(I.QTBH!AE:AE,I.QTBH!$C:$C,$D34),
IF(SUMIFS(I.QTBH!BE:BE,I.QTBH!$C:$C,$D34)=1,"TS,KL",""))</f>
        <v/>
      </c>
      <c r="M34" s="19" t="str">
        <f ca="1">IF(SUMIFS(I.QTBH!BF:BF,I.QTBH!$C:$C,$D34)&gt;1,SUMIFS(I.QTBH!AF:AF,I.QTBH!$C:$C,$D34),
IF(SUMIFS(I.QTBH!BF:BF,I.QTBH!$C:$C,$D34)=1,"TS,KL",""))</f>
        <v/>
      </c>
      <c r="N34" s="19" t="str">
        <f ca="1">IF(SUMIFS(I.QTBH!BG:BG,I.QTBH!$C:$C,$D34)&gt;1,SUMIFS(I.QTBH!AG:AG,I.QTBH!$C:$C,$D34),
IF(SUMIFS(I.QTBH!BG:BG,I.QTBH!$C:$C,$D34)=1,"TS,KL",""))</f>
        <v/>
      </c>
      <c r="O34" s="19" t="str">
        <f ca="1">IF(SUMIFS(I.QTBH!BH:BH,I.QTBH!$C:$C,$D34)&gt;1,SUMIFS(I.QTBH!AH:AH,I.QTBH!$C:$C,$D34),
IF(SUMIFS(I.QTBH!BH:BH,I.QTBH!$C:$C,$D34)=1,"TS,KL",""))</f>
        <v/>
      </c>
      <c r="P34" s="19" t="str">
        <f ca="1">IF(SUMIFS(I.QTBH!BI:BI,I.QTBH!$C:$C,$D34)&gt;1,SUMIFS(I.QTBH!AI:AI,I.QTBH!$C:$C,$D34),
IF(SUMIFS(I.QTBH!BI:BI,I.QTBH!$C:$C,$D34)=1,"TS,KL",""))</f>
        <v/>
      </c>
      <c r="Q34" s="19" t="str">
        <f ca="1">IF(SUMIFS(I.QTBH!BJ:BJ,I.QTBH!$C:$C,$D34)&gt;1,SUMIFS(I.QTBH!AJ:AJ,I.QTBH!$C:$C,$D34),
IF(SUMIFS(I.QTBH!BJ:BJ,I.QTBH!$C:$C,$D34)=1,"TS,KL",""))</f>
        <v/>
      </c>
      <c r="R34" s="19" t="str">
        <f ca="1">IF(SUMIFS(I.QTBH!BK:BK,I.QTBH!$C:$C,$D34)&gt;1,SUMIFS(I.QTBH!AK:AK,I.QTBH!$C:$C,$D34),
IF(SUMIFS(I.QTBH!BK:BK,I.QTBH!$C:$C,$D34)=1,"TS,KL",""))</f>
        <v/>
      </c>
      <c r="S34" s="19" t="str">
        <f ca="1">IF(SUMIFS(I.QTBH!BL:BL,I.QTBH!$C:$C,$D34)&gt;1,SUMIFS(I.QTBH!AL:AL,I.QTBH!$C:$C,$D34),
IF(SUMIFS(I.QTBH!BL:BL,I.QTBH!$C:$C,$D34)=1,"TS,KL",""))</f>
        <v/>
      </c>
      <c r="T34" s="126" t="str">
        <f ca="1">IFERROR(INDEX(I.QTBH!O:O,MATCH($D34,I.QTBH!$C:$C,0),1),"")</f>
        <v/>
      </c>
      <c r="U34" s="234" t="str">
        <f t="shared" ca="1" si="3"/>
        <v/>
      </c>
      <c r="V34" s="183"/>
    </row>
    <row r="35" spans="2:22" s="4" customFormat="1" ht="15" customHeight="1" x14ac:dyDescent="0.25">
      <c r="B35" s="182"/>
      <c r="C35" s="7">
        <f t="shared" si="4"/>
        <v>6</v>
      </c>
      <c r="D35" s="34" t="str" cm="1">
        <f t="array" aca="1" ref="D35" ca="1">IFERROR(INDEX(INDIRECT(I.QTBH!$C$6),MATCH(1,
(COUNTIF($D$29:D34,INDIRECT(I.QTBH!$C$6))=0)*
(INDIRECT(I.QTBH!$G$6)="OFF")*
(INDIRECT(I.QTBH!$P$6)="Không"),0),1),"")</f>
        <v/>
      </c>
      <c r="E35" s="35" t="str">
        <f ca="1">IFERROR(INDEX(I.QTBH!D:D,MATCH(D35,I.QTBH!C:C,0),1),"")</f>
        <v/>
      </c>
      <c r="F35" s="36" t="str">
        <f ca="1">IFERROR(INDEX(I.QTBH!B:B,MATCH(D35,I.QTBH!C:C,0),1),"")</f>
        <v/>
      </c>
      <c r="G35" s="19" t="str">
        <f ca="1">IF(SUMIFS(I.QTBH!AZ:AZ,I.QTBH!$C:$C,$D35)&gt;1,SUMIFS(I.QTBH!Z:Z,I.QTBH!$C:$C,$D35),
IF(SUMIFS(I.QTBH!AZ:AZ,I.QTBH!$C:$C,$D35)=1,"TS,KL",""))</f>
        <v/>
      </c>
      <c r="H35" s="19" t="str">
        <f ca="1">IF(SUMIFS(I.QTBH!BA:BA,I.QTBH!$C:$C,$D35)&gt;1,SUMIFS(I.QTBH!AA:AA,I.QTBH!$C:$C,$D35),
IF(SUMIFS(I.QTBH!BA:BA,I.QTBH!$C:$C,$D35)=1,"TS,KL",""))</f>
        <v/>
      </c>
      <c r="I35" s="19" t="str">
        <f ca="1">IF(SUMIFS(I.QTBH!BB:BB,I.QTBH!$C:$C,$D35)&gt;1,SUMIFS(I.QTBH!AB:AB,I.QTBH!$C:$C,$D35),
IF(SUMIFS(I.QTBH!BB:BB,I.QTBH!$C:$C,$D35)=1,"TS,KL",""))</f>
        <v/>
      </c>
      <c r="J35" s="19" t="str">
        <f ca="1">IF(SUMIFS(I.QTBH!BC:BC,I.QTBH!$C:$C,$D35)&gt;1,SUMIFS(I.QTBH!AC:AC,I.QTBH!$C:$C,$D35),
IF(SUMIFS(I.QTBH!BC:BC,I.QTBH!$C:$C,$D35)=1,"TS,KL",""))</f>
        <v/>
      </c>
      <c r="K35" s="19" t="str">
        <f ca="1">IF(SUMIFS(I.QTBH!BD:BD,I.QTBH!$C:$C,$D35)&gt;1,SUMIFS(I.QTBH!AD:AD,I.QTBH!$C:$C,$D35),
IF(SUMIFS(I.QTBH!BD:BD,I.QTBH!$C:$C,$D35)=1,"TS,KL",""))</f>
        <v/>
      </c>
      <c r="L35" s="19" t="str">
        <f ca="1">IF(SUMIFS(I.QTBH!BE:BE,I.QTBH!$C:$C,$D35)&gt;1,SUMIFS(I.QTBH!AE:AE,I.QTBH!$C:$C,$D35),
IF(SUMIFS(I.QTBH!BE:BE,I.QTBH!$C:$C,$D35)=1,"TS,KL",""))</f>
        <v/>
      </c>
      <c r="M35" s="19" t="str">
        <f ca="1">IF(SUMIFS(I.QTBH!BF:BF,I.QTBH!$C:$C,$D35)&gt;1,SUMIFS(I.QTBH!AF:AF,I.QTBH!$C:$C,$D35),
IF(SUMIFS(I.QTBH!BF:BF,I.QTBH!$C:$C,$D35)=1,"TS,KL",""))</f>
        <v/>
      </c>
      <c r="N35" s="19" t="str">
        <f ca="1">IF(SUMIFS(I.QTBH!BG:BG,I.QTBH!$C:$C,$D35)&gt;1,SUMIFS(I.QTBH!AG:AG,I.QTBH!$C:$C,$D35),
IF(SUMIFS(I.QTBH!BG:BG,I.QTBH!$C:$C,$D35)=1,"TS,KL",""))</f>
        <v/>
      </c>
      <c r="O35" s="19" t="str">
        <f ca="1">IF(SUMIFS(I.QTBH!BH:BH,I.QTBH!$C:$C,$D35)&gt;1,SUMIFS(I.QTBH!AH:AH,I.QTBH!$C:$C,$D35),
IF(SUMIFS(I.QTBH!BH:BH,I.QTBH!$C:$C,$D35)=1,"TS,KL",""))</f>
        <v/>
      </c>
      <c r="P35" s="19" t="str">
        <f ca="1">IF(SUMIFS(I.QTBH!BI:BI,I.QTBH!$C:$C,$D35)&gt;1,SUMIFS(I.QTBH!AI:AI,I.QTBH!$C:$C,$D35),
IF(SUMIFS(I.QTBH!BI:BI,I.QTBH!$C:$C,$D35)=1,"TS,KL",""))</f>
        <v/>
      </c>
      <c r="Q35" s="19" t="str">
        <f ca="1">IF(SUMIFS(I.QTBH!BJ:BJ,I.QTBH!$C:$C,$D35)&gt;1,SUMIFS(I.QTBH!AJ:AJ,I.QTBH!$C:$C,$D35),
IF(SUMIFS(I.QTBH!BJ:BJ,I.QTBH!$C:$C,$D35)=1,"TS,KL",""))</f>
        <v/>
      </c>
      <c r="R35" s="19" t="str">
        <f ca="1">IF(SUMIFS(I.QTBH!BK:BK,I.QTBH!$C:$C,$D35)&gt;1,SUMIFS(I.QTBH!AK:AK,I.QTBH!$C:$C,$D35),
IF(SUMIFS(I.QTBH!BK:BK,I.QTBH!$C:$C,$D35)=1,"TS,KL",""))</f>
        <v/>
      </c>
      <c r="S35" s="19" t="str">
        <f ca="1">IF(SUMIFS(I.QTBH!BL:BL,I.QTBH!$C:$C,$D35)&gt;1,SUMIFS(I.QTBH!AL:AL,I.QTBH!$C:$C,$D35),
IF(SUMIFS(I.QTBH!BL:BL,I.QTBH!$C:$C,$D35)=1,"TS,KL",""))</f>
        <v/>
      </c>
      <c r="T35" s="126" t="str">
        <f ca="1">IFERROR(INDEX(I.QTBH!O:O,MATCH($D35,I.QTBH!$C:$C,0),1),"")</f>
        <v/>
      </c>
      <c r="U35" s="234" t="str">
        <f t="shared" ca="1" si="3"/>
        <v/>
      </c>
      <c r="V35" s="183"/>
    </row>
    <row r="36" spans="2:22" s="4" customFormat="1" ht="8.65" customHeight="1" x14ac:dyDescent="0.25">
      <c r="B36" s="182"/>
      <c r="C36" s="206"/>
      <c r="D36" s="206"/>
      <c r="E36" s="206"/>
      <c r="F36" s="206"/>
      <c r="G36" s="206"/>
      <c r="H36" s="206"/>
      <c r="I36" s="206"/>
      <c r="J36" s="206"/>
      <c r="K36" s="206"/>
      <c r="L36" s="206"/>
      <c r="M36" s="206"/>
      <c r="N36" s="206"/>
      <c r="O36" s="206"/>
      <c r="P36" s="206"/>
      <c r="Q36" s="206"/>
      <c r="R36" s="206"/>
      <c r="S36" s="206"/>
      <c r="T36" s="206"/>
      <c r="U36" s="206"/>
      <c r="V36" s="183"/>
    </row>
    <row r="37" spans="2:22" s="4" customFormat="1" ht="19.5" customHeight="1" x14ac:dyDescent="0.25">
      <c r="B37" s="182"/>
      <c r="C37" s="317" t="s">
        <v>26</v>
      </c>
      <c r="D37" s="318"/>
      <c r="E37" s="318"/>
      <c r="F37" s="318"/>
      <c r="G37" s="318"/>
      <c r="H37" s="318"/>
      <c r="I37" s="318"/>
      <c r="J37" s="318"/>
      <c r="K37" s="318"/>
      <c r="L37" s="318"/>
      <c r="M37" s="318"/>
      <c r="N37" s="318"/>
      <c r="O37" s="318"/>
      <c r="P37" s="318"/>
      <c r="Q37" s="318"/>
      <c r="R37" s="318"/>
      <c r="S37" s="318"/>
      <c r="T37" s="318"/>
      <c r="U37" s="319"/>
      <c r="V37" s="183"/>
    </row>
    <row r="38" spans="2:22" s="21" customFormat="1" ht="15" customHeight="1" x14ac:dyDescent="0.25">
      <c r="B38" s="186"/>
      <c r="C38" s="19">
        <v>1</v>
      </c>
      <c r="D38" s="131" t="s">
        <v>21</v>
      </c>
      <c r="E38" s="132"/>
      <c r="F38" s="36"/>
      <c r="G38" s="33">
        <f ca="1">COUNT(G12:OFFSET(G24,-1,0))+COUNT(G30:OFFSET(G37,-1,0))</f>
        <v>1</v>
      </c>
      <c r="H38" s="33">
        <f ca="1">COUNT(H12:OFFSET(H24,-1,0))+COUNT(H30:OFFSET(H37,-1,0))</f>
        <v>3</v>
      </c>
      <c r="I38" s="19">
        <f ca="1">COUNT(I12:OFFSET(I24,-1,0))+COUNT(I30:OFFSET(I37,-1,0))</f>
        <v>3</v>
      </c>
      <c r="J38" s="33">
        <f ca="1">COUNT(J12:OFFSET(J24,-1,0))+COUNT(J30:OFFSET(J37,-1,0))</f>
        <v>2</v>
      </c>
      <c r="K38" s="33">
        <f ca="1">COUNT(K12:OFFSET(K24,-1,0))+COUNT(K30:OFFSET(K37,-1,0))</f>
        <v>2</v>
      </c>
      <c r="L38" s="33">
        <f ca="1">COUNT(L12:OFFSET(L24,-1,0))+COUNT(L30:OFFSET(L37,-1,0))</f>
        <v>1</v>
      </c>
      <c r="M38" s="33">
        <f ca="1">COUNT(M12:OFFSET(M24,-1,0))+COUNT(M30:OFFSET(M37,-1,0))</f>
        <v>0</v>
      </c>
      <c r="N38" s="33">
        <f ca="1">COUNT(N12:OFFSET(N24,-1,0))+COUNT(N30:OFFSET(N37,-1,0))</f>
        <v>0</v>
      </c>
      <c r="O38" s="33">
        <f ca="1">COUNT(O12:OFFSET(O24,-1,0))+COUNT(O30:OFFSET(O37,-1,0))</f>
        <v>0</v>
      </c>
      <c r="P38" s="33">
        <f ca="1">COUNT(P12:OFFSET(P24,-1,0))+COUNT(P30:OFFSET(P37,-1,0))</f>
        <v>0</v>
      </c>
      <c r="Q38" s="33">
        <f ca="1">COUNT(Q12:OFFSET(Q24,-1,0))+COUNT(Q30:OFFSET(Q37,-1,0))</f>
        <v>0</v>
      </c>
      <c r="R38" s="33">
        <f ca="1">COUNT(R12:OFFSET(R24,-1,0))+COUNT(R30:OFFSET(R37,-1,0))</f>
        <v>0</v>
      </c>
      <c r="S38" s="33">
        <f ca="1">COUNT(S12:OFFSET(S24,-1,0))+COUNT(S30:OFFSET(S37,-1,0))</f>
        <v>1</v>
      </c>
      <c r="T38" s="20"/>
      <c r="U38" s="30"/>
      <c r="V38" s="187"/>
    </row>
    <row r="39" spans="2:22" s="21" customFormat="1" ht="15" customHeight="1" x14ac:dyDescent="0.25">
      <c r="B39" s="186"/>
      <c r="C39" s="19">
        <v>2</v>
      </c>
      <c r="D39" s="131" t="s">
        <v>22</v>
      </c>
      <c r="E39" s="132"/>
      <c r="F39" s="36"/>
      <c r="G39" s="33">
        <f ca="1">COUNT(G25:OFFSET(G29,-1,0))</f>
        <v>0</v>
      </c>
      <c r="H39" s="33">
        <f ca="1">COUNT(H25:OFFSET(H29,-1,0))</f>
        <v>1</v>
      </c>
      <c r="I39" s="19">
        <f ca="1">COUNT(I25:OFFSET(I29,-1,0))</f>
        <v>1</v>
      </c>
      <c r="J39" s="33">
        <f ca="1">COUNT(J25:OFFSET(J29,-1,0))</f>
        <v>1</v>
      </c>
      <c r="K39" s="33">
        <f ca="1">COUNT(K25:OFFSET(K29,-1,0))</f>
        <v>1</v>
      </c>
      <c r="L39" s="33">
        <f ca="1">COUNT(L25:OFFSET(L29,-1,0))</f>
        <v>1</v>
      </c>
      <c r="M39" s="33">
        <f ca="1">COUNT(M25:OFFSET(M29,-1,0))</f>
        <v>1</v>
      </c>
      <c r="N39" s="33">
        <f ca="1">COUNT(N25:OFFSET(N29,-1,0))</f>
        <v>1</v>
      </c>
      <c r="O39" s="33">
        <f ca="1">COUNT(O25:OFFSET(O29,-1,0))</f>
        <v>1</v>
      </c>
      <c r="P39" s="33">
        <f ca="1">COUNT(P25:OFFSET(P29,-1,0))</f>
        <v>1</v>
      </c>
      <c r="Q39" s="33">
        <f ca="1">COUNT(Q25:OFFSET(Q29,-1,0))</f>
        <v>1</v>
      </c>
      <c r="R39" s="33">
        <f ca="1">COUNT(R25:OFFSET(R29,-1,0))</f>
        <v>0</v>
      </c>
      <c r="S39" s="33">
        <f ca="1">COUNT(S25:OFFSET(S29,-1,0))</f>
        <v>0</v>
      </c>
      <c r="T39" s="20"/>
      <c r="U39" s="30"/>
      <c r="V39" s="187"/>
    </row>
    <row r="40" spans="2:22" s="21" customFormat="1" ht="15" customHeight="1" x14ac:dyDescent="0.25">
      <c r="B40" s="186"/>
      <c r="C40" s="19">
        <v>3</v>
      </c>
      <c r="D40" s="131" t="s">
        <v>31</v>
      </c>
      <c r="E40" s="132"/>
      <c r="F40" s="36"/>
      <c r="G40" s="33">
        <f ca="1">SUM(G38:G39)</f>
        <v>1</v>
      </c>
      <c r="H40" s="33">
        <f t="shared" ref="H40:S40" ca="1" si="5">SUM(H38:H39)</f>
        <v>4</v>
      </c>
      <c r="I40" s="19">
        <f t="shared" ca="1" si="5"/>
        <v>4</v>
      </c>
      <c r="J40" s="33">
        <f t="shared" ca="1" si="5"/>
        <v>3</v>
      </c>
      <c r="K40" s="33">
        <f t="shared" ca="1" si="5"/>
        <v>3</v>
      </c>
      <c r="L40" s="33">
        <f t="shared" ca="1" si="5"/>
        <v>2</v>
      </c>
      <c r="M40" s="33">
        <f t="shared" ca="1" si="5"/>
        <v>1</v>
      </c>
      <c r="N40" s="33">
        <f t="shared" ca="1" si="5"/>
        <v>1</v>
      </c>
      <c r="O40" s="33">
        <f t="shared" ca="1" si="5"/>
        <v>1</v>
      </c>
      <c r="P40" s="33">
        <f t="shared" ca="1" si="5"/>
        <v>1</v>
      </c>
      <c r="Q40" s="33">
        <f t="shared" ca="1" si="5"/>
        <v>1</v>
      </c>
      <c r="R40" s="33">
        <f t="shared" ca="1" si="5"/>
        <v>0</v>
      </c>
      <c r="S40" s="33">
        <f t="shared" ca="1" si="5"/>
        <v>1</v>
      </c>
      <c r="T40" s="20"/>
      <c r="U40" s="30"/>
      <c r="V40" s="187"/>
    </row>
    <row r="41" spans="2:22" s="4" customFormat="1" ht="8.65" customHeight="1" x14ac:dyDescent="0.25">
      <c r="B41" s="182"/>
      <c r="C41" s="206"/>
      <c r="D41" s="206"/>
      <c r="E41" s="206"/>
      <c r="F41" s="206"/>
      <c r="G41" s="206"/>
      <c r="H41" s="206"/>
      <c r="I41" s="206"/>
      <c r="J41" s="206"/>
      <c r="K41" s="206"/>
      <c r="L41" s="206"/>
      <c r="M41" s="206"/>
      <c r="N41" s="206"/>
      <c r="O41" s="206"/>
      <c r="P41" s="206"/>
      <c r="Q41" s="206"/>
      <c r="R41" s="206"/>
      <c r="S41" s="206"/>
      <c r="T41" s="206"/>
      <c r="U41" s="206"/>
      <c r="V41" s="183"/>
    </row>
    <row r="42" spans="2:22" s="4" customFormat="1" ht="19.5" customHeight="1" x14ac:dyDescent="0.25">
      <c r="B42" s="182"/>
      <c r="C42" s="317" t="s">
        <v>27</v>
      </c>
      <c r="D42" s="318"/>
      <c r="E42" s="318"/>
      <c r="F42" s="318"/>
      <c r="G42" s="318"/>
      <c r="H42" s="318"/>
      <c r="I42" s="318"/>
      <c r="J42" s="318"/>
      <c r="K42" s="318"/>
      <c r="L42" s="318"/>
      <c r="M42" s="318"/>
      <c r="N42" s="318"/>
      <c r="O42" s="318"/>
      <c r="P42" s="318"/>
      <c r="Q42" s="318"/>
      <c r="R42" s="318"/>
      <c r="S42" s="318"/>
      <c r="T42" s="318"/>
      <c r="U42" s="319"/>
      <c r="V42" s="183"/>
    </row>
    <row r="43" spans="2:22" s="21" customFormat="1" ht="15" customHeight="1" x14ac:dyDescent="0.25">
      <c r="B43" s="186"/>
      <c r="C43" s="19">
        <v>1</v>
      </c>
      <c r="D43" s="131" t="s">
        <v>21</v>
      </c>
      <c r="E43" s="19"/>
      <c r="F43" s="19"/>
      <c r="G43" s="19">
        <f ca="1">SUM(G12:OFFSET(G24,-1,0))+SUM(G30:OFFSET(G37,-1,0))</f>
        <v>7000000</v>
      </c>
      <c r="H43" s="19">
        <f ca="1">SUM(H12:OFFSET(H24,-1,0))+SUM(H30:OFFSET(H37,-1,0))</f>
        <v>22000000</v>
      </c>
      <c r="I43" s="19">
        <f ca="1">SUM(I12:OFFSET(I24,-1,0))+SUM(I30:OFFSET(I37,-1,0))</f>
        <v>22000000</v>
      </c>
      <c r="J43" s="19">
        <f ca="1">SUM(J12:OFFSET(J24,-1,0))+SUM(J30:OFFSET(J37,-1,0))</f>
        <v>16000000</v>
      </c>
      <c r="K43" s="19">
        <f ca="1">SUM(K12:OFFSET(K24,-1,0))+SUM(K30:OFFSET(K37,-1,0))</f>
        <v>16000000</v>
      </c>
      <c r="L43" s="19">
        <f ca="1">SUM(L12:OFFSET(L24,-1,0))+SUM(L30:OFFSET(L37,-1,0))</f>
        <v>7000000</v>
      </c>
      <c r="M43" s="19">
        <f ca="1">SUM(M12:OFFSET(M24,-1,0))+SUM(M30:OFFSET(M37,-1,0))</f>
        <v>0</v>
      </c>
      <c r="N43" s="19">
        <f ca="1">SUM(N12:OFFSET(N24,-1,0))+SUM(N30:OFFSET(N37,-1,0))</f>
        <v>0</v>
      </c>
      <c r="O43" s="19">
        <f ca="1">SUM(O12:OFFSET(O24,-1,0))+SUM(O30:OFFSET(O37,-1,0))</f>
        <v>0</v>
      </c>
      <c r="P43" s="19">
        <f ca="1">SUM(P12:OFFSET(P24,-1,0))+SUM(P30:OFFSET(P37,-1,0))</f>
        <v>0</v>
      </c>
      <c r="Q43" s="19">
        <f ca="1">SUM(Q12:OFFSET(Q24,-1,0))+SUM(Q30:OFFSET(Q37,-1,0))</f>
        <v>0</v>
      </c>
      <c r="R43" s="19">
        <f ca="1">SUM(R12:OFFSET(R24,-1,0))+SUM(R30:OFFSET(R37,-1,0))</f>
        <v>0</v>
      </c>
      <c r="S43" s="19">
        <f ca="1">SUM(S12:OFFSET(S24,-1,0))+SUM(S30:OFFSET(S37,-1,0))</f>
        <v>8000000</v>
      </c>
      <c r="T43" s="19"/>
      <c r="U43" s="19"/>
      <c r="V43" s="187"/>
    </row>
    <row r="44" spans="2:22" s="21" customFormat="1" ht="15" customHeight="1" x14ac:dyDescent="0.25">
      <c r="B44" s="186"/>
      <c r="C44" s="19">
        <v>2</v>
      </c>
      <c r="D44" s="131" t="s">
        <v>22</v>
      </c>
      <c r="E44" s="132"/>
      <c r="F44" s="36"/>
      <c r="G44" s="19">
        <f ca="1">SUM(G25:OFFSET(G29,-1,0))</f>
        <v>0</v>
      </c>
      <c r="H44" s="19">
        <f ca="1">SUM(H25:OFFSET(H29,-1,0))</f>
        <v>5000000</v>
      </c>
      <c r="I44" s="19">
        <f ca="1">SUM(I25:OFFSET(I29,-1,0))</f>
        <v>5000000</v>
      </c>
      <c r="J44" s="19">
        <f ca="1">SUM(J25:OFFSET(J29,-1,0))</f>
        <v>5000000</v>
      </c>
      <c r="K44" s="19">
        <f ca="1">SUM(K25:OFFSET(K29,-1,0))</f>
        <v>5000000</v>
      </c>
      <c r="L44" s="19">
        <f ca="1">SUM(L25:OFFSET(L29,-1,0))</f>
        <v>5000000</v>
      </c>
      <c r="M44" s="19">
        <f ca="1">SUM(M25:OFFSET(M29,-1,0))</f>
        <v>5000000</v>
      </c>
      <c r="N44" s="19">
        <f ca="1">SUM(N25:OFFSET(N29,-1,0))</f>
        <v>5000000</v>
      </c>
      <c r="O44" s="19">
        <f ca="1">SUM(O25:OFFSET(O29,-1,0))</f>
        <v>5000000</v>
      </c>
      <c r="P44" s="19">
        <f ca="1">SUM(P25:OFFSET(P29,-1,0))</f>
        <v>5000000</v>
      </c>
      <c r="Q44" s="19">
        <f ca="1">SUM(Q25:OFFSET(Q29,-1,0))</f>
        <v>5000000</v>
      </c>
      <c r="R44" s="19">
        <f ca="1">SUM(R25:OFFSET(R29,-1,0))</f>
        <v>0</v>
      </c>
      <c r="S44" s="19">
        <f ca="1">SUM(S25:OFFSET(S29,-1,0))</f>
        <v>0</v>
      </c>
      <c r="T44" s="20"/>
      <c r="U44" s="30"/>
      <c r="V44" s="187"/>
    </row>
    <row r="45" spans="2:22" s="21" customFormat="1" ht="15" customHeight="1" x14ac:dyDescent="0.25">
      <c r="B45" s="186"/>
      <c r="C45" s="19">
        <v>3</v>
      </c>
      <c r="D45" s="131" t="s">
        <v>29</v>
      </c>
      <c r="E45" s="132"/>
      <c r="F45" s="36"/>
      <c r="G45" s="19">
        <f ca="1">SUM(G43:G44)</f>
        <v>7000000</v>
      </c>
      <c r="H45" s="19">
        <f t="shared" ref="H45:S45" ca="1" si="6">SUM(H43:H44)</f>
        <v>27000000</v>
      </c>
      <c r="I45" s="19">
        <f t="shared" ca="1" si="6"/>
        <v>27000000</v>
      </c>
      <c r="J45" s="19">
        <f t="shared" ca="1" si="6"/>
        <v>21000000</v>
      </c>
      <c r="K45" s="19">
        <f t="shared" ca="1" si="6"/>
        <v>21000000</v>
      </c>
      <c r="L45" s="19">
        <f t="shared" ca="1" si="6"/>
        <v>12000000</v>
      </c>
      <c r="M45" s="19">
        <f t="shared" ca="1" si="6"/>
        <v>5000000</v>
      </c>
      <c r="N45" s="19">
        <f t="shared" ca="1" si="6"/>
        <v>5000000</v>
      </c>
      <c r="O45" s="19">
        <f t="shared" ca="1" si="6"/>
        <v>5000000</v>
      </c>
      <c r="P45" s="19">
        <f t="shared" ca="1" si="6"/>
        <v>5000000</v>
      </c>
      <c r="Q45" s="19">
        <f t="shared" ca="1" si="6"/>
        <v>5000000</v>
      </c>
      <c r="R45" s="19">
        <f t="shared" ca="1" si="6"/>
        <v>0</v>
      </c>
      <c r="S45" s="19">
        <f t="shared" ca="1" si="6"/>
        <v>8000000</v>
      </c>
      <c r="T45" s="20"/>
      <c r="U45" s="30"/>
      <c r="V45" s="187"/>
    </row>
    <row r="46" spans="2:22" s="4" customFormat="1" ht="8.65" customHeight="1" x14ac:dyDescent="0.25">
      <c r="B46" s="182"/>
      <c r="C46" s="206"/>
      <c r="D46" s="206"/>
      <c r="E46" s="206"/>
      <c r="F46" s="206"/>
      <c r="G46" s="206"/>
      <c r="H46" s="206"/>
      <c r="I46" s="206"/>
      <c r="J46" s="206"/>
      <c r="K46" s="206"/>
      <c r="L46" s="206"/>
      <c r="M46" s="206"/>
      <c r="N46" s="206"/>
      <c r="O46" s="206"/>
      <c r="P46" s="206"/>
      <c r="Q46" s="206"/>
      <c r="R46" s="206"/>
      <c r="S46" s="206"/>
      <c r="T46" s="206"/>
      <c r="U46" s="206"/>
      <c r="V46" s="183"/>
    </row>
    <row r="47" spans="2:22" s="4" customFormat="1" ht="19.5" customHeight="1" x14ac:dyDescent="0.25">
      <c r="B47" s="182"/>
      <c r="C47" s="317" t="s">
        <v>28</v>
      </c>
      <c r="D47" s="318"/>
      <c r="E47" s="318"/>
      <c r="F47" s="318"/>
      <c r="G47" s="318"/>
      <c r="H47" s="318"/>
      <c r="I47" s="318"/>
      <c r="J47" s="318"/>
      <c r="K47" s="318"/>
      <c r="L47" s="318"/>
      <c r="M47" s="318"/>
      <c r="N47" s="318"/>
      <c r="O47" s="318"/>
      <c r="P47" s="318"/>
      <c r="Q47" s="318"/>
      <c r="R47" s="318"/>
      <c r="S47" s="318"/>
      <c r="T47" s="318"/>
      <c r="U47" s="319"/>
      <c r="V47" s="183"/>
    </row>
    <row r="48" spans="2:22" s="18" customFormat="1" ht="15" customHeight="1" x14ac:dyDescent="0.25">
      <c r="B48" s="188"/>
      <c r="C48" s="237">
        <v>1</v>
      </c>
      <c r="D48" s="334" t="s">
        <v>21</v>
      </c>
      <c r="E48" s="335"/>
      <c r="F48" s="336"/>
      <c r="G48" s="237">
        <f t="shared" ref="G48:S48" ca="1" si="7">SUM(G49:G51)</f>
        <v>2240000</v>
      </c>
      <c r="H48" s="237">
        <f t="shared" ca="1" si="7"/>
        <v>7040000</v>
      </c>
      <c r="I48" s="237">
        <f t="shared" ca="1" si="7"/>
        <v>7040000</v>
      </c>
      <c r="J48" s="237">
        <f t="shared" ca="1" si="7"/>
        <v>5120000</v>
      </c>
      <c r="K48" s="237">
        <f t="shared" ca="1" si="7"/>
        <v>5120000</v>
      </c>
      <c r="L48" s="237">
        <f t="shared" ca="1" si="7"/>
        <v>2240000</v>
      </c>
      <c r="M48" s="237">
        <f t="shared" ca="1" si="7"/>
        <v>0</v>
      </c>
      <c r="N48" s="237">
        <f t="shared" ca="1" si="7"/>
        <v>0</v>
      </c>
      <c r="O48" s="237">
        <f t="shared" ca="1" si="7"/>
        <v>0</v>
      </c>
      <c r="P48" s="237">
        <f t="shared" ca="1" si="7"/>
        <v>0</v>
      </c>
      <c r="Q48" s="237">
        <f t="shared" ca="1" si="7"/>
        <v>0</v>
      </c>
      <c r="R48" s="237">
        <f t="shared" ca="1" si="7"/>
        <v>0</v>
      </c>
      <c r="S48" s="237">
        <f t="shared" ca="1" si="7"/>
        <v>2560000</v>
      </c>
      <c r="T48" s="237"/>
      <c r="U48" s="238">
        <f ca="1">SUM(U12:OFFSET(U24,-1,0))+SUM(U30:OFFSET(U37,-1,0))</f>
        <v>5120000</v>
      </c>
      <c r="V48" s="189"/>
    </row>
    <row r="49" spans="2:22" s="4" customFormat="1" ht="15" customHeight="1" x14ac:dyDescent="0.25">
      <c r="B49" s="182"/>
      <c r="C49" s="7"/>
      <c r="D49" s="320" t="s">
        <v>301</v>
      </c>
      <c r="E49" s="321"/>
      <c r="F49" s="322"/>
      <c r="G49" s="19">
        <f t="shared" ref="G49:S49" ca="1" si="8">G43*25.5%</f>
        <v>1785000</v>
      </c>
      <c r="H49" s="19">
        <f t="shared" ca="1" si="8"/>
        <v>5610000</v>
      </c>
      <c r="I49" s="19">
        <f t="shared" ca="1" si="8"/>
        <v>5610000</v>
      </c>
      <c r="J49" s="19">
        <f t="shared" ca="1" si="8"/>
        <v>4080000</v>
      </c>
      <c r="K49" s="19">
        <f t="shared" ca="1" si="8"/>
        <v>4080000</v>
      </c>
      <c r="L49" s="19">
        <f t="shared" ca="1" si="8"/>
        <v>1785000</v>
      </c>
      <c r="M49" s="19">
        <f t="shared" ca="1" si="8"/>
        <v>0</v>
      </c>
      <c r="N49" s="19">
        <f t="shared" ca="1" si="8"/>
        <v>0</v>
      </c>
      <c r="O49" s="19">
        <f ca="1">O43*25.5%</f>
        <v>0</v>
      </c>
      <c r="P49" s="19">
        <f t="shared" ca="1" si="8"/>
        <v>0</v>
      </c>
      <c r="Q49" s="19">
        <f t="shared" ca="1" si="8"/>
        <v>0</v>
      </c>
      <c r="R49" s="19">
        <f t="shared" ca="1" si="8"/>
        <v>0</v>
      </c>
      <c r="S49" s="19">
        <f t="shared" ca="1" si="8"/>
        <v>2040000</v>
      </c>
      <c r="T49" s="9"/>
      <c r="U49" s="234"/>
      <c r="V49" s="183"/>
    </row>
    <row r="50" spans="2:22" s="4" customFormat="1" ht="15" customHeight="1" x14ac:dyDescent="0.25">
      <c r="B50" s="182"/>
      <c r="C50" s="7"/>
      <c r="D50" s="320" t="s">
        <v>302</v>
      </c>
      <c r="E50" s="321"/>
      <c r="F50" s="322"/>
      <c r="G50" s="19">
        <f ca="1">G43*4.5%</f>
        <v>315000</v>
      </c>
      <c r="H50" s="19">
        <f ca="1">H43*4.5%</f>
        <v>990000</v>
      </c>
      <c r="I50" s="19">
        <f t="shared" ref="I50:S50" ca="1" si="9">I43*4.5%</f>
        <v>990000</v>
      </c>
      <c r="J50" s="19">
        <f t="shared" ca="1" si="9"/>
        <v>720000</v>
      </c>
      <c r="K50" s="19">
        <f t="shared" ca="1" si="9"/>
        <v>720000</v>
      </c>
      <c r="L50" s="19">
        <f t="shared" ca="1" si="9"/>
        <v>315000</v>
      </c>
      <c r="M50" s="19">
        <f t="shared" ca="1" si="9"/>
        <v>0</v>
      </c>
      <c r="N50" s="19">
        <f t="shared" ca="1" si="9"/>
        <v>0</v>
      </c>
      <c r="O50" s="19">
        <f t="shared" ca="1" si="9"/>
        <v>0</v>
      </c>
      <c r="P50" s="19">
        <f t="shared" ca="1" si="9"/>
        <v>0</v>
      </c>
      <c r="Q50" s="19">
        <f t="shared" ca="1" si="9"/>
        <v>0</v>
      </c>
      <c r="R50" s="19">
        <f t="shared" ca="1" si="9"/>
        <v>0</v>
      </c>
      <c r="S50" s="19">
        <f t="shared" ca="1" si="9"/>
        <v>360000</v>
      </c>
      <c r="T50" s="9"/>
      <c r="U50" s="234"/>
      <c r="V50" s="183"/>
    </row>
    <row r="51" spans="2:22" s="4" customFormat="1" ht="15" customHeight="1" x14ac:dyDescent="0.25">
      <c r="B51" s="182"/>
      <c r="C51" s="7"/>
      <c r="D51" s="320" t="s">
        <v>303</v>
      </c>
      <c r="E51" s="321"/>
      <c r="F51" s="322"/>
      <c r="G51" s="19">
        <f t="shared" ref="G51:S51" ca="1" si="10">G43*2%</f>
        <v>140000</v>
      </c>
      <c r="H51" s="19">
        <f t="shared" ca="1" si="10"/>
        <v>440000</v>
      </c>
      <c r="I51" s="19">
        <f t="shared" ca="1" si="10"/>
        <v>440000</v>
      </c>
      <c r="J51" s="19">
        <f t="shared" ca="1" si="10"/>
        <v>320000</v>
      </c>
      <c r="K51" s="19">
        <f t="shared" ca="1" si="10"/>
        <v>320000</v>
      </c>
      <c r="L51" s="19">
        <f t="shared" ca="1" si="10"/>
        <v>140000</v>
      </c>
      <c r="M51" s="19">
        <f t="shared" ca="1" si="10"/>
        <v>0</v>
      </c>
      <c r="N51" s="19">
        <f t="shared" ca="1" si="10"/>
        <v>0</v>
      </c>
      <c r="O51" s="19">
        <f t="shared" ca="1" si="10"/>
        <v>0</v>
      </c>
      <c r="P51" s="19">
        <f t="shared" ca="1" si="10"/>
        <v>0</v>
      </c>
      <c r="Q51" s="19">
        <f t="shared" ca="1" si="10"/>
        <v>0</v>
      </c>
      <c r="R51" s="19">
        <f t="shared" ca="1" si="10"/>
        <v>0</v>
      </c>
      <c r="S51" s="19">
        <f t="shared" ca="1" si="10"/>
        <v>160000</v>
      </c>
      <c r="T51" s="9"/>
      <c r="U51" s="234"/>
      <c r="V51" s="183"/>
    </row>
    <row r="52" spans="2:22" s="18" customFormat="1" ht="15" customHeight="1" x14ac:dyDescent="0.25">
      <c r="B52" s="188"/>
      <c r="C52" s="32">
        <v>2</v>
      </c>
      <c r="D52" s="311" t="s">
        <v>22</v>
      </c>
      <c r="E52" s="312"/>
      <c r="F52" s="313"/>
      <c r="G52" s="40">
        <f t="shared" ref="G52:S52" ca="1" si="11">SUM(G53:G55)</f>
        <v>0</v>
      </c>
      <c r="H52" s="40">
        <f t="shared" ca="1" si="11"/>
        <v>1600000</v>
      </c>
      <c r="I52" s="32">
        <f t="shared" ca="1" si="11"/>
        <v>1600000</v>
      </c>
      <c r="J52" s="40">
        <f t="shared" ca="1" si="11"/>
        <v>1600000</v>
      </c>
      <c r="K52" s="40">
        <f t="shared" ca="1" si="11"/>
        <v>1600000</v>
      </c>
      <c r="L52" s="40">
        <f t="shared" ca="1" si="11"/>
        <v>1600000</v>
      </c>
      <c r="M52" s="40">
        <f t="shared" ca="1" si="11"/>
        <v>1600000</v>
      </c>
      <c r="N52" s="40">
        <f t="shared" ca="1" si="11"/>
        <v>1600000</v>
      </c>
      <c r="O52" s="40">
        <f t="shared" ca="1" si="11"/>
        <v>1600000</v>
      </c>
      <c r="P52" s="40">
        <f t="shared" ca="1" si="11"/>
        <v>1600000</v>
      </c>
      <c r="Q52" s="40">
        <f t="shared" ca="1" si="11"/>
        <v>1600000</v>
      </c>
      <c r="R52" s="40">
        <f t="shared" ca="1" si="11"/>
        <v>0</v>
      </c>
      <c r="S52" s="40">
        <f t="shared" ca="1" si="11"/>
        <v>0</v>
      </c>
      <c r="T52" s="41"/>
      <c r="U52" s="235">
        <f ca="1">SUM(U25:OFFSET(U29,-1,0))</f>
        <v>1600000</v>
      </c>
      <c r="V52" s="189"/>
    </row>
    <row r="53" spans="2:22" s="4" customFormat="1" ht="15" customHeight="1" x14ac:dyDescent="0.25">
      <c r="B53" s="182"/>
      <c r="C53" s="7"/>
      <c r="D53" s="320" t="s">
        <v>301</v>
      </c>
      <c r="E53" s="321"/>
      <c r="F53" s="322"/>
      <c r="G53" s="19">
        <f ca="1">G44*25.5%</f>
        <v>0</v>
      </c>
      <c r="H53" s="19">
        <f t="shared" ref="H53:R53" ca="1" si="12">H44*25.5%</f>
        <v>1275000</v>
      </c>
      <c r="I53" s="19">
        <f t="shared" ca="1" si="12"/>
        <v>1275000</v>
      </c>
      <c r="J53" s="19">
        <f t="shared" ca="1" si="12"/>
        <v>1275000</v>
      </c>
      <c r="K53" s="19">
        <f t="shared" ca="1" si="12"/>
        <v>1275000</v>
      </c>
      <c r="L53" s="19">
        <f t="shared" ca="1" si="12"/>
        <v>1275000</v>
      </c>
      <c r="M53" s="19">
        <f ca="1">M44*25.5%</f>
        <v>1275000</v>
      </c>
      <c r="N53" s="19">
        <f t="shared" ca="1" si="12"/>
        <v>1275000</v>
      </c>
      <c r="O53" s="19">
        <f t="shared" ca="1" si="12"/>
        <v>1275000</v>
      </c>
      <c r="P53" s="19">
        <f t="shared" ca="1" si="12"/>
        <v>1275000</v>
      </c>
      <c r="Q53" s="19">
        <f ca="1">Q44*25.5%</f>
        <v>1275000</v>
      </c>
      <c r="R53" s="19">
        <f t="shared" ca="1" si="12"/>
        <v>0</v>
      </c>
      <c r="S53" s="19">
        <f ca="1">S44*25.5%</f>
        <v>0</v>
      </c>
      <c r="T53" s="9"/>
      <c r="U53" s="234"/>
      <c r="V53" s="183"/>
    </row>
    <row r="54" spans="2:22" s="4" customFormat="1" ht="15" customHeight="1" x14ac:dyDescent="0.25">
      <c r="B54" s="182"/>
      <c r="C54" s="7"/>
      <c r="D54" s="320" t="s">
        <v>302</v>
      </c>
      <c r="E54" s="321"/>
      <c r="F54" s="322"/>
      <c r="G54" s="19">
        <f t="shared" ref="G54:S54" ca="1" si="13">G44*4.5%</f>
        <v>0</v>
      </c>
      <c r="H54" s="19">
        <f t="shared" ca="1" si="13"/>
        <v>225000</v>
      </c>
      <c r="I54" s="19">
        <f t="shared" ca="1" si="13"/>
        <v>225000</v>
      </c>
      <c r="J54" s="19">
        <f t="shared" ca="1" si="13"/>
        <v>225000</v>
      </c>
      <c r="K54" s="19">
        <f t="shared" ca="1" si="13"/>
        <v>225000</v>
      </c>
      <c r="L54" s="19">
        <f t="shared" ca="1" si="13"/>
        <v>225000</v>
      </c>
      <c r="M54" s="19">
        <f t="shared" ca="1" si="13"/>
        <v>225000</v>
      </c>
      <c r="N54" s="19">
        <f t="shared" ca="1" si="13"/>
        <v>225000</v>
      </c>
      <c r="O54" s="19">
        <f t="shared" ca="1" si="13"/>
        <v>225000</v>
      </c>
      <c r="P54" s="19">
        <f t="shared" ca="1" si="13"/>
        <v>225000</v>
      </c>
      <c r="Q54" s="19">
        <f t="shared" ca="1" si="13"/>
        <v>225000</v>
      </c>
      <c r="R54" s="19">
        <f t="shared" ca="1" si="13"/>
        <v>0</v>
      </c>
      <c r="S54" s="19">
        <f t="shared" ca="1" si="13"/>
        <v>0</v>
      </c>
      <c r="T54" s="9"/>
      <c r="U54" s="234"/>
      <c r="V54" s="183"/>
    </row>
    <row r="55" spans="2:22" s="4" customFormat="1" ht="15" customHeight="1" x14ac:dyDescent="0.25">
      <c r="B55" s="182"/>
      <c r="C55" s="7"/>
      <c r="D55" s="320" t="s">
        <v>303</v>
      </c>
      <c r="E55" s="321"/>
      <c r="F55" s="322"/>
      <c r="G55" s="19">
        <f t="shared" ref="G55:S55" ca="1" si="14">G44*2%</f>
        <v>0</v>
      </c>
      <c r="H55" s="19">
        <f t="shared" ca="1" si="14"/>
        <v>100000</v>
      </c>
      <c r="I55" s="19">
        <f t="shared" ca="1" si="14"/>
        <v>100000</v>
      </c>
      <c r="J55" s="19">
        <f t="shared" ca="1" si="14"/>
        <v>100000</v>
      </c>
      <c r="K55" s="19">
        <f t="shared" ca="1" si="14"/>
        <v>100000</v>
      </c>
      <c r="L55" s="19">
        <f t="shared" ca="1" si="14"/>
        <v>100000</v>
      </c>
      <c r="M55" s="19">
        <f t="shared" ca="1" si="14"/>
        <v>100000</v>
      </c>
      <c r="N55" s="19">
        <f t="shared" ca="1" si="14"/>
        <v>100000</v>
      </c>
      <c r="O55" s="19">
        <f t="shared" ca="1" si="14"/>
        <v>100000</v>
      </c>
      <c r="P55" s="19">
        <f t="shared" ca="1" si="14"/>
        <v>100000</v>
      </c>
      <c r="Q55" s="19">
        <f t="shared" ca="1" si="14"/>
        <v>100000</v>
      </c>
      <c r="R55" s="19">
        <f t="shared" ca="1" si="14"/>
        <v>0</v>
      </c>
      <c r="S55" s="19">
        <f t="shared" ca="1" si="14"/>
        <v>0</v>
      </c>
      <c r="T55" s="9"/>
      <c r="U55" s="234"/>
      <c r="V55" s="183"/>
    </row>
    <row r="56" spans="2:22" s="4" customFormat="1" ht="15" customHeight="1" x14ac:dyDescent="0.25">
      <c r="B56" s="182"/>
      <c r="C56" s="27">
        <v>3</v>
      </c>
      <c r="D56" s="314" t="s">
        <v>30</v>
      </c>
      <c r="E56" s="315"/>
      <c r="F56" s="316"/>
      <c r="G56" s="38">
        <f t="shared" ref="G56:S56" ca="1" si="15">G48+G52</f>
        <v>2240000</v>
      </c>
      <c r="H56" s="38">
        <f t="shared" ca="1" si="15"/>
        <v>8640000</v>
      </c>
      <c r="I56" s="27">
        <f t="shared" ca="1" si="15"/>
        <v>8640000</v>
      </c>
      <c r="J56" s="38">
        <f t="shared" ca="1" si="15"/>
        <v>6720000</v>
      </c>
      <c r="K56" s="38">
        <f t="shared" ca="1" si="15"/>
        <v>6720000</v>
      </c>
      <c r="L56" s="38">
        <f t="shared" ca="1" si="15"/>
        <v>3840000</v>
      </c>
      <c r="M56" s="38">
        <f t="shared" ca="1" si="15"/>
        <v>1600000</v>
      </c>
      <c r="N56" s="38">
        <f t="shared" ca="1" si="15"/>
        <v>1600000</v>
      </c>
      <c r="O56" s="38">
        <f t="shared" ca="1" si="15"/>
        <v>1600000</v>
      </c>
      <c r="P56" s="38">
        <f t="shared" ca="1" si="15"/>
        <v>1600000</v>
      </c>
      <c r="Q56" s="38">
        <f t="shared" ca="1" si="15"/>
        <v>1600000</v>
      </c>
      <c r="R56" s="38">
        <f t="shared" ca="1" si="15"/>
        <v>0</v>
      </c>
      <c r="S56" s="38">
        <f t="shared" ca="1" si="15"/>
        <v>2560000</v>
      </c>
      <c r="T56" s="28"/>
      <c r="U56" s="236">
        <f ca="1">SUM(U48:U55)</f>
        <v>6720000</v>
      </c>
      <c r="V56" s="183"/>
    </row>
    <row r="57" spans="2:22" s="4" customFormat="1" ht="8.65" customHeight="1" x14ac:dyDescent="0.25">
      <c r="B57" s="182"/>
      <c r="C57" s="206"/>
      <c r="D57" s="206"/>
      <c r="E57" s="206"/>
      <c r="F57" s="206"/>
      <c r="G57" s="206"/>
      <c r="H57" s="206"/>
      <c r="I57" s="206"/>
      <c r="J57" s="206"/>
      <c r="K57" s="206"/>
      <c r="L57" s="206"/>
      <c r="M57" s="206"/>
      <c r="N57" s="206"/>
      <c r="O57" s="206"/>
      <c r="P57" s="206"/>
      <c r="Q57" s="206"/>
      <c r="R57" s="206"/>
      <c r="S57" s="206"/>
      <c r="T57" s="206"/>
      <c r="U57" s="206"/>
      <c r="V57" s="183"/>
    </row>
    <row r="58" spans="2:22" s="4" customFormat="1" ht="19.5" customHeight="1" x14ac:dyDescent="0.25">
      <c r="B58" s="182"/>
      <c r="C58" s="317" t="s">
        <v>271</v>
      </c>
      <c r="D58" s="318"/>
      <c r="E58" s="318"/>
      <c r="F58" s="318"/>
      <c r="G58" s="318"/>
      <c r="H58" s="318"/>
      <c r="I58" s="318"/>
      <c r="J58" s="318"/>
      <c r="K58" s="318"/>
      <c r="L58" s="318"/>
      <c r="M58" s="318"/>
      <c r="N58" s="318"/>
      <c r="O58" s="318"/>
      <c r="P58" s="318"/>
      <c r="Q58" s="318"/>
      <c r="R58" s="318"/>
      <c r="S58" s="318"/>
      <c r="T58" s="318"/>
      <c r="U58" s="319"/>
      <c r="V58" s="183"/>
    </row>
    <row r="59" spans="2:22" s="18" customFormat="1" ht="16.5" customHeight="1" x14ac:dyDescent="0.25">
      <c r="B59" s="188"/>
      <c r="C59" s="133">
        <v>1</v>
      </c>
      <c r="D59" s="331" t="s">
        <v>15</v>
      </c>
      <c r="E59" s="332"/>
      <c r="F59" s="333"/>
      <c r="G59" s="133">
        <f>SUMIFS(I.QTBH!$CB:$CB,I.QTBH!$CA:$CA,G$10)</f>
        <v>0</v>
      </c>
      <c r="H59" s="133">
        <f>SUMIFS(I.QTBH!$CB:$CB,I.QTBH!$CA:$CA,H$10)</f>
        <v>0</v>
      </c>
      <c r="I59" s="133">
        <f>SUMIFS(I.QTBH!$CB:$CB,I.QTBH!$CA:$CA,I$10)</f>
        <v>1157500</v>
      </c>
      <c r="J59" s="133">
        <f>SUMIFS(I.QTBH!$CB:$CB,I.QTBH!$CA:$CA,J$10)</f>
        <v>0</v>
      </c>
      <c r="K59" s="133">
        <f>SUMIFS(I.QTBH!$CB:$CB,I.QTBH!$CA:$CA,K$10)</f>
        <v>0</v>
      </c>
      <c r="L59" s="133">
        <f>SUMIFS(I.QTBH!$CB:$CB,I.QTBH!$CA:$CA,L$10)</f>
        <v>0</v>
      </c>
      <c r="M59" s="133">
        <f>SUMIFS(I.QTBH!$CB:$CB,I.QTBH!$CA:$CA,M$10)</f>
        <v>0</v>
      </c>
      <c r="N59" s="133">
        <f>SUMIFS(I.QTBH!$CB:$CB,I.QTBH!$CA:$CA,N$10)</f>
        <v>0</v>
      </c>
      <c r="O59" s="133">
        <f>SUMIFS(I.QTBH!$CB:$CB,I.QTBH!$CA:$CA,O$10)</f>
        <v>0</v>
      </c>
      <c r="P59" s="133">
        <f>SUMIFS(I.QTBH!$CB:$CB,I.QTBH!$CA:$CA,P$10)</f>
        <v>0</v>
      </c>
      <c r="Q59" s="133">
        <f>SUMIFS(I.QTBH!$CB:$CB,I.QTBH!$CA:$CA,Q$10)</f>
        <v>0</v>
      </c>
      <c r="R59" s="133">
        <f>SUMIFS(I.QTBH!$CB:$CB,I.QTBH!$CA:$CA,R$10)</f>
        <v>0</v>
      </c>
      <c r="S59" s="133">
        <f>SUMIFS(I.QTBH!$CB:$CB,I.QTBH!$CA:$CA,S$10)</f>
        <v>0</v>
      </c>
      <c r="T59" s="134"/>
      <c r="U59" s="135"/>
      <c r="V59" s="189"/>
    </row>
    <row r="60" spans="2:22" s="4" customFormat="1" ht="15" customHeight="1" x14ac:dyDescent="0.25">
      <c r="B60" s="182"/>
      <c r="C60" s="133">
        <v>2</v>
      </c>
      <c r="D60" s="331" t="s">
        <v>18</v>
      </c>
      <c r="E60" s="332"/>
      <c r="F60" s="333"/>
      <c r="G60" s="133">
        <f>SUMIFS(I.QTBH!$BW:$BW,I.QTBH!$BV:$BV,G$10)</f>
        <v>0</v>
      </c>
      <c r="H60" s="133">
        <f>SUMIFS(I.QTBH!$BW:$BW,I.QTBH!$BV:$BV,H$10)</f>
        <v>202500</v>
      </c>
      <c r="I60" s="133">
        <f>SUMIFS(I.QTBH!$BW:$BW,I.QTBH!$BV:$BV,I$10)</f>
        <v>0</v>
      </c>
      <c r="J60" s="133">
        <f>SUMIFS(I.QTBH!$BW:$BW,I.QTBH!$BV:$BV,J$10)</f>
        <v>0</v>
      </c>
      <c r="K60" s="133">
        <f>SUMIFS(I.QTBH!$BW:$BW,I.QTBH!$BV:$BV,K$10)</f>
        <v>0</v>
      </c>
      <c r="L60" s="133">
        <f>SUMIFS(I.QTBH!$BW:$BW,I.QTBH!$BV:$BV,L$10)</f>
        <v>0</v>
      </c>
      <c r="M60" s="133">
        <f>SUMIFS(I.QTBH!$BW:$BW,I.QTBH!$BV:$BV,M$10)</f>
        <v>0</v>
      </c>
      <c r="N60" s="133">
        <f>SUMIFS(I.QTBH!$BW:$BW,I.QTBH!$BV:$BV,N$10)</f>
        <v>0</v>
      </c>
      <c r="O60" s="133">
        <f>SUMIFS(I.QTBH!$BW:$BW,I.QTBH!$BV:$BV,O$10)</f>
        <v>0</v>
      </c>
      <c r="P60" s="133">
        <f>SUMIFS(I.QTBH!$BW:$BW,I.QTBH!$BV:$BV,P$10)</f>
        <v>0</v>
      </c>
      <c r="Q60" s="133">
        <f>SUMIFS(I.QTBH!$BW:$BW,I.QTBH!$BV:$BV,Q$10)</f>
        <v>0</v>
      </c>
      <c r="R60" s="133">
        <f>SUMIFS(I.QTBH!$BW:$BW,I.QTBH!$BV:$BV,R$10)</f>
        <v>0</v>
      </c>
      <c r="S60" s="133">
        <f>SUMIFS(I.QTBH!$BW:$BW,I.QTBH!$BV:$BV,S$10)</f>
        <v>0</v>
      </c>
      <c r="T60" s="134"/>
      <c r="U60" s="135"/>
      <c r="V60" s="183"/>
    </row>
    <row r="61" spans="2:22" s="18" customFormat="1" ht="16.5" customHeight="1" x14ac:dyDescent="0.25">
      <c r="B61" s="188"/>
      <c r="C61" s="133">
        <v>3</v>
      </c>
      <c r="D61" s="331" t="s">
        <v>251</v>
      </c>
      <c r="E61" s="332"/>
      <c r="F61" s="333"/>
      <c r="G61" s="133">
        <f t="shared" ref="G61:S61" ca="1" si="16">G56+G59+G60</f>
        <v>2240000</v>
      </c>
      <c r="H61" s="133">
        <f t="shared" ca="1" si="16"/>
        <v>8842500</v>
      </c>
      <c r="I61" s="133">
        <f t="shared" ca="1" si="16"/>
        <v>9797500</v>
      </c>
      <c r="J61" s="133">
        <f t="shared" ca="1" si="16"/>
        <v>6720000</v>
      </c>
      <c r="K61" s="133">
        <f t="shared" ca="1" si="16"/>
        <v>6720000</v>
      </c>
      <c r="L61" s="133">
        <f t="shared" ca="1" si="16"/>
        <v>3840000</v>
      </c>
      <c r="M61" s="133">
        <f t="shared" ca="1" si="16"/>
        <v>1600000</v>
      </c>
      <c r="N61" s="133">
        <f t="shared" ca="1" si="16"/>
        <v>1600000</v>
      </c>
      <c r="O61" s="133">
        <f t="shared" ca="1" si="16"/>
        <v>1600000</v>
      </c>
      <c r="P61" s="133">
        <f t="shared" ca="1" si="16"/>
        <v>1600000</v>
      </c>
      <c r="Q61" s="133">
        <f t="shared" ca="1" si="16"/>
        <v>1600000</v>
      </c>
      <c r="R61" s="133">
        <f t="shared" ca="1" si="16"/>
        <v>0</v>
      </c>
      <c r="S61" s="133">
        <f t="shared" ca="1" si="16"/>
        <v>2560000</v>
      </c>
      <c r="T61" s="134"/>
      <c r="U61" s="135"/>
      <c r="V61" s="189"/>
    </row>
    <row r="62" spans="2:22" s="4" customFormat="1" ht="8.65" customHeight="1" x14ac:dyDescent="0.25">
      <c r="B62" s="182"/>
      <c r="C62" s="206"/>
      <c r="D62" s="206"/>
      <c r="E62" s="206"/>
      <c r="F62" s="206"/>
      <c r="G62" s="206"/>
      <c r="H62" s="206"/>
      <c r="I62" s="206"/>
      <c r="J62" s="206"/>
      <c r="K62" s="206"/>
      <c r="L62" s="206"/>
      <c r="M62" s="206"/>
      <c r="N62" s="206"/>
      <c r="O62" s="206"/>
      <c r="P62" s="206"/>
      <c r="Q62" s="206"/>
      <c r="R62" s="206"/>
      <c r="S62" s="206"/>
      <c r="T62" s="206"/>
      <c r="U62" s="206"/>
      <c r="V62" s="183"/>
    </row>
    <row r="63" spans="2:22" s="4" customFormat="1" ht="19.5" customHeight="1" x14ac:dyDescent="0.25">
      <c r="B63" s="182"/>
      <c r="C63" s="317" t="s">
        <v>272</v>
      </c>
      <c r="D63" s="318"/>
      <c r="E63" s="318"/>
      <c r="F63" s="318"/>
      <c r="G63" s="318"/>
      <c r="H63" s="318"/>
      <c r="I63" s="318"/>
      <c r="J63" s="318"/>
      <c r="K63" s="318"/>
      <c r="L63" s="318"/>
      <c r="M63" s="318"/>
      <c r="N63" s="318"/>
      <c r="O63" s="318"/>
      <c r="P63" s="318"/>
      <c r="Q63" s="318"/>
      <c r="R63" s="318"/>
      <c r="S63" s="318"/>
      <c r="T63" s="318"/>
      <c r="U63" s="319"/>
      <c r="V63" s="183"/>
    </row>
    <row r="64" spans="2:22" s="18" customFormat="1" ht="16.5" customHeight="1" x14ac:dyDescent="0.25">
      <c r="B64" s="188"/>
      <c r="C64" s="133">
        <v>1</v>
      </c>
      <c r="D64" s="331" t="s">
        <v>270</v>
      </c>
      <c r="E64" s="332"/>
      <c r="F64" s="333"/>
      <c r="G64" s="133">
        <f>SUMIFS(I.QTBH!$BP:$BP,I.QTBH!$BO:$BO,G$10)</f>
        <v>2240000</v>
      </c>
      <c r="H64" s="133">
        <f>SUMIFS(I.QTBH!$BP:$BP,I.QTBH!$BO:$BO,H$10)</f>
        <v>8842500</v>
      </c>
      <c r="I64" s="133">
        <f>SUMIFS(I.QTBH!$BP:$BP,I.QTBH!$BO:$BO,I$10)</f>
        <v>0</v>
      </c>
      <c r="J64" s="133">
        <f>SUMIFS(I.QTBH!$BP:$BP,I.QTBH!$BO:$BO,J$10)</f>
        <v>0</v>
      </c>
      <c r="K64" s="133">
        <f>SUMIFS(I.QTBH!$BP:$BP,I.QTBH!$BO:$BO,K$10)</f>
        <v>0</v>
      </c>
      <c r="L64" s="133">
        <f>SUMIFS(I.QTBH!$BP:$BP,I.QTBH!$BO:$BO,L$10)</f>
        <v>0</v>
      </c>
      <c r="M64" s="133">
        <f>SUMIFS(I.QTBH!$BP:$BP,I.QTBH!$BO:$BO,M$10)</f>
        <v>0</v>
      </c>
      <c r="N64" s="133">
        <f>SUMIFS(I.QTBH!$BP:$BP,I.QTBH!$BO:$BO,N$10)</f>
        <v>0</v>
      </c>
      <c r="O64" s="133">
        <f>SUMIFS(I.QTBH!$BP:$BP,I.QTBH!$BO:$BO,O$10)</f>
        <v>0</v>
      </c>
      <c r="P64" s="133">
        <f>SUMIFS(I.QTBH!$BP:$BP,I.QTBH!$BO:$BO,P$10)</f>
        <v>0</v>
      </c>
      <c r="Q64" s="133">
        <f>SUMIFS(I.QTBH!$BP:$BP,I.QTBH!$BO:$BO,Q$10)</f>
        <v>0</v>
      </c>
      <c r="R64" s="133">
        <f>SUMIFS(I.QTBH!$BP:$BP,I.QTBH!$BO:$BO,R$10)</f>
        <v>0</v>
      </c>
      <c r="S64" s="133">
        <f>SUMIFS(I.QTBH!$BP:$BP,I.QTBH!$BO:$BO,S$10)</f>
        <v>0</v>
      </c>
      <c r="T64" s="134"/>
      <c r="U64" s="135"/>
      <c r="V64" s="189"/>
    </row>
    <row r="65" spans="2:25" s="18" customFormat="1" ht="16.5" customHeight="1" x14ac:dyDescent="0.25">
      <c r="B65" s="188"/>
      <c r="C65" s="133">
        <v>2</v>
      </c>
      <c r="D65" s="331" t="s">
        <v>250</v>
      </c>
      <c r="E65" s="332"/>
      <c r="F65" s="333"/>
      <c r="G65" s="133">
        <f>SUMIFS(I.QTBH!$BQ:$BQ,I.QTBH!$BO:$BO,G$10)</f>
        <v>2240000</v>
      </c>
      <c r="H65" s="133">
        <f>SUMIFS(I.QTBH!$BQ:$BQ,I.QTBH!$BO:$BO,H$10)</f>
        <v>10000000</v>
      </c>
      <c r="I65" s="133">
        <f>SUMIFS(I.QTBH!$BQ:$BQ,I.QTBH!$BO:$BO,I$10)</f>
        <v>0</v>
      </c>
      <c r="J65" s="133">
        <f>SUMIFS(I.QTBH!$BQ:$BQ,I.QTBH!$BO:$BO,J$10)</f>
        <v>0</v>
      </c>
      <c r="K65" s="133">
        <f>SUMIFS(I.QTBH!$BQ:$BQ,I.QTBH!$BO:$BO,K$10)</f>
        <v>0</v>
      </c>
      <c r="L65" s="133">
        <f>SUMIFS(I.QTBH!$BQ:$BQ,I.QTBH!$BO:$BO,L$10)</f>
        <v>0</v>
      </c>
      <c r="M65" s="133">
        <f>SUMIFS(I.QTBH!$BQ:$BQ,I.QTBH!$BO:$BO,M$10)</f>
        <v>0</v>
      </c>
      <c r="N65" s="133">
        <f>SUMIFS(I.QTBH!$BQ:$BQ,I.QTBH!$BO:$BO,N$10)</f>
        <v>0</v>
      </c>
      <c r="O65" s="133">
        <f>SUMIFS(I.QTBH!$BQ:$BQ,I.QTBH!$BO:$BO,O$10)</f>
        <v>0</v>
      </c>
      <c r="P65" s="133">
        <f>SUMIFS(I.QTBH!$BQ:$BQ,I.QTBH!$BO:$BO,P$10)</f>
        <v>0</v>
      </c>
      <c r="Q65" s="133">
        <f>SUMIFS(I.QTBH!$BQ:$BQ,I.QTBH!$BO:$BO,Q$10)</f>
        <v>0</v>
      </c>
      <c r="R65" s="133">
        <f>SUMIFS(I.QTBH!$BQ:$BQ,I.QTBH!$BO:$BO,R$10)</f>
        <v>0</v>
      </c>
      <c r="S65" s="133">
        <f>SUMIFS(I.QTBH!$BQ:$BQ,I.QTBH!$BO:$BO,S$10)</f>
        <v>0</v>
      </c>
      <c r="T65" s="134"/>
      <c r="U65" s="135"/>
      <c r="V65" s="189"/>
    </row>
    <row r="66" spans="2:25" s="4" customFormat="1" ht="15" customHeight="1" x14ac:dyDescent="0.25">
      <c r="B66" s="182"/>
      <c r="C66" s="156"/>
      <c r="D66" s="325" t="s">
        <v>280</v>
      </c>
      <c r="E66" s="326"/>
      <c r="F66" s="327"/>
      <c r="G66" s="156">
        <f>SUMIFS(I.QTBH!$BR:$BR,I.QTBH!$BO:$BO,G$10)</f>
        <v>0</v>
      </c>
      <c r="H66" s="156">
        <f>SUMIFS(I.QTBH!$BR:$BR,I.QTBH!$BO:$BO,H$10)</f>
        <v>-1157500</v>
      </c>
      <c r="I66" s="156">
        <f>SUMIFS(I.QTBH!$BR:$BR,I.QTBH!$BO:$BO,I$10)</f>
        <v>0</v>
      </c>
      <c r="J66" s="156">
        <f>SUMIFS(I.QTBH!$BR:$BR,I.QTBH!$BO:$BO,J$10)</f>
        <v>0</v>
      </c>
      <c r="K66" s="156">
        <f>SUMIFS(I.QTBH!$BR:$BR,I.QTBH!$BO:$BO,K$10)</f>
        <v>0</v>
      </c>
      <c r="L66" s="156">
        <f>SUMIFS(I.QTBH!$BR:$BR,I.QTBH!$BO:$BO,L$10)</f>
        <v>0</v>
      </c>
      <c r="M66" s="156">
        <f>SUMIFS(I.QTBH!$BR:$BR,I.QTBH!$BO:$BO,M$10)</f>
        <v>0</v>
      </c>
      <c r="N66" s="156">
        <f>SUMIFS(I.QTBH!$BR:$BR,I.QTBH!$BO:$BO,N$10)</f>
        <v>0</v>
      </c>
      <c r="O66" s="156">
        <f>SUMIFS(I.QTBH!$BR:$BR,I.QTBH!$BO:$BO,O$10)</f>
        <v>0</v>
      </c>
      <c r="P66" s="156">
        <f>SUMIFS(I.QTBH!$BR:$BR,I.QTBH!$BO:$BO,P$10)</f>
        <v>0</v>
      </c>
      <c r="Q66" s="156">
        <f>SUMIFS(I.QTBH!$BR:$BR,I.QTBH!$BO:$BO,Q$10)</f>
        <v>0</v>
      </c>
      <c r="R66" s="156">
        <f>SUMIFS(I.QTBH!$BR:$BR,I.QTBH!$BO:$BO,R$10)</f>
        <v>0</v>
      </c>
      <c r="S66" s="156">
        <f>SUMIFS(I.QTBH!$BR:$BR,I.QTBH!$BO:$BO,S$10)</f>
        <v>0</v>
      </c>
      <c r="T66" s="157"/>
      <c r="U66" s="158"/>
      <c r="V66" s="183"/>
    </row>
    <row r="67" spans="2:25" s="4" customFormat="1" ht="51" customHeight="1" x14ac:dyDescent="0.25">
      <c r="B67" s="182"/>
      <c r="C67" s="156"/>
      <c r="D67" s="325" t="s">
        <v>252</v>
      </c>
      <c r="E67" s="326"/>
      <c r="F67" s="327"/>
      <c r="G67" s="159">
        <f>IFERROR(INDEX(I.QTBH!$BS:$BS,MATCH(G$10,I.QTBH!$BO:$BO,0),1),"")</f>
        <v>0</v>
      </c>
      <c r="H67" s="159" t="str">
        <f>IFERROR(INDEX(I.QTBH!$BS:$BS,MATCH(H$10,I.QTBH!$BO:$BO,0),1),"")</f>
        <v>Đóng thừa nhân viên XYZ</v>
      </c>
      <c r="I67" s="159">
        <f>IFERROR(INDEX(I.QTBH!$BS:$BS,MATCH(I$10,I.QTBH!$BO:$BO,0),1),"")</f>
        <v>0</v>
      </c>
      <c r="J67" s="159">
        <f>IFERROR(INDEX(I.QTBH!$BS:$BS,MATCH(J$10,I.QTBH!$BO:$BO,0),1),"")</f>
        <v>0</v>
      </c>
      <c r="K67" s="159">
        <f>IFERROR(INDEX(I.QTBH!$BS:$BS,MATCH(K$10,I.QTBH!$BO:$BO,0),1),"")</f>
        <v>0</v>
      </c>
      <c r="L67" s="159">
        <f>IFERROR(INDEX(I.QTBH!$BS:$BS,MATCH(L$10,I.QTBH!$BO:$BO,0),1),"")</f>
        <v>0</v>
      </c>
      <c r="M67" s="159">
        <f>IFERROR(INDEX(I.QTBH!$BS:$BS,MATCH(M$10,I.QTBH!$BO:$BO,0),1),"")</f>
        <v>0</v>
      </c>
      <c r="N67" s="159">
        <f>IFERROR(INDEX(I.QTBH!$BS:$BS,MATCH(N$10,I.QTBH!$BO:$BO,0),1),"")</f>
        <v>0</v>
      </c>
      <c r="O67" s="159" t="str">
        <f>IFERROR(INDEX(I.QTBH!$BS:$BS,MATCH(O$10,I.QTBH!$BO:$BO,0),1),"")</f>
        <v/>
      </c>
      <c r="P67" s="159">
        <f>IFERROR(INDEX(I.QTBH!$BS:$BS,MATCH(P$10,I.QTBH!$BO:$BO,0),1),"")</f>
        <v>0</v>
      </c>
      <c r="Q67" s="159">
        <f>IFERROR(INDEX(I.QTBH!$BS:$BS,MATCH(Q$10,I.QTBH!$BO:$BO,0),1),"")</f>
        <v>0</v>
      </c>
      <c r="R67" s="159">
        <f>IFERROR(INDEX(I.QTBH!$BS:$BS,MATCH(R$10,I.QTBH!$BO:$BO,0),1),"")</f>
        <v>0</v>
      </c>
      <c r="S67" s="159">
        <f>IFERROR(INDEX(I.QTBH!$BS:$BS,MATCH(S$10,I.QTBH!$BO:$BO,0),1),"")</f>
        <v>0</v>
      </c>
      <c r="T67" s="157"/>
      <c r="U67" s="158"/>
      <c r="V67" s="183"/>
    </row>
    <row r="68" spans="2:25" ht="13.5" thickBot="1" x14ac:dyDescent="0.3">
      <c r="B68" s="190"/>
      <c r="C68" s="191"/>
      <c r="D68" s="192"/>
      <c r="E68" s="192"/>
      <c r="F68" s="193"/>
      <c r="G68" s="191"/>
      <c r="H68" s="191"/>
      <c r="I68" s="194"/>
      <c r="J68" s="191"/>
      <c r="K68" s="191"/>
      <c r="L68" s="191"/>
      <c r="M68" s="191"/>
      <c r="N68" s="191"/>
      <c r="O68" s="191"/>
      <c r="P68" s="191"/>
      <c r="Q68" s="191"/>
      <c r="R68" s="191"/>
      <c r="S68" s="191"/>
      <c r="T68" s="195"/>
      <c r="U68" s="196"/>
      <c r="V68" s="197"/>
      <c r="X68" s="2"/>
      <c r="Y68" s="2"/>
    </row>
    <row r="69" spans="2:25" ht="13.5" thickTop="1" x14ac:dyDescent="0.25">
      <c r="I69" s="6"/>
      <c r="X69" s="2"/>
      <c r="Y69" s="2"/>
    </row>
    <row r="70" spans="2:25" x14ac:dyDescent="0.25">
      <c r="I70" s="6"/>
      <c r="X70" s="2"/>
      <c r="Y70" s="2"/>
    </row>
    <row r="71" spans="2:25" x14ac:dyDescent="0.25">
      <c r="X71" s="2"/>
      <c r="Y71" s="2"/>
    </row>
    <row r="72" spans="2:25" s="23" customFormat="1" ht="15" x14ac:dyDescent="0.25">
      <c r="C72" s="22"/>
      <c r="D72" s="127"/>
      <c r="E72" s="22"/>
      <c r="F72" s="22"/>
      <c r="T72" s="24"/>
      <c r="U72" s="31"/>
      <c r="X72" s="25"/>
      <c r="Y72" s="25"/>
    </row>
    <row r="73" spans="2:25" s="23" customFormat="1" ht="15" x14ac:dyDescent="0.25">
      <c r="D73" s="127"/>
      <c r="F73" s="22"/>
      <c r="T73" s="24"/>
      <c r="U73" s="31"/>
      <c r="X73" s="25"/>
      <c r="Y73" s="25"/>
    </row>
    <row r="74" spans="2:25" ht="15.75" x14ac:dyDescent="0.25">
      <c r="C74" s="113"/>
      <c r="D74" s="113"/>
      <c r="E74" s="128"/>
      <c r="F74" s="129"/>
      <c r="G74" s="10"/>
      <c r="H74" s="10"/>
      <c r="X74" s="2"/>
      <c r="Y74" s="2"/>
    </row>
    <row r="75" spans="2:25" ht="15.75" x14ac:dyDescent="0.25">
      <c r="C75" s="113"/>
      <c r="D75" s="113"/>
      <c r="E75" s="128"/>
      <c r="F75" s="129"/>
      <c r="G75" s="11"/>
      <c r="H75" s="11"/>
      <c r="I75" s="6"/>
      <c r="J75" s="6"/>
      <c r="K75" s="6"/>
      <c r="L75" s="6"/>
      <c r="M75" s="6"/>
      <c r="N75" s="6"/>
      <c r="O75" s="6"/>
      <c r="P75" s="6"/>
      <c r="Q75" s="6"/>
      <c r="R75" s="6"/>
      <c r="S75" s="6"/>
      <c r="X75" s="2"/>
      <c r="Y75" s="2"/>
    </row>
    <row r="76" spans="2:25" ht="15.75" x14ac:dyDescent="0.25">
      <c r="C76" s="113"/>
      <c r="D76" s="113"/>
      <c r="E76" s="113"/>
      <c r="F76" s="130"/>
      <c r="G76" s="10"/>
      <c r="H76" s="10"/>
    </row>
  </sheetData>
  <mergeCells count="29">
    <mergeCell ref="D66:F66"/>
    <mergeCell ref="D67:F67"/>
    <mergeCell ref="B2:V2"/>
    <mergeCell ref="D60:F60"/>
    <mergeCell ref="D59:F59"/>
    <mergeCell ref="D61:F61"/>
    <mergeCell ref="D65:F65"/>
    <mergeCell ref="C37:U37"/>
    <mergeCell ref="C29:U29"/>
    <mergeCell ref="C24:U24"/>
    <mergeCell ref="C11:U11"/>
    <mergeCell ref="D48:F48"/>
    <mergeCell ref="C63:U63"/>
    <mergeCell ref="D64:F64"/>
    <mergeCell ref="H4:I4"/>
    <mergeCell ref="H5:I5"/>
    <mergeCell ref="C4:D5"/>
    <mergeCell ref="D52:F52"/>
    <mergeCell ref="D56:F56"/>
    <mergeCell ref="C47:U47"/>
    <mergeCell ref="C58:U58"/>
    <mergeCell ref="C42:U42"/>
    <mergeCell ref="D49:F49"/>
    <mergeCell ref="D50:F50"/>
    <mergeCell ref="D51:F51"/>
    <mergeCell ref="D53:F53"/>
    <mergeCell ref="D54:F54"/>
    <mergeCell ref="D55:F55"/>
    <mergeCell ref="G4:G5"/>
  </mergeCells>
  <conditionalFormatting sqref="G12:S22">
    <cfRule type="containsText" dxfId="28" priority="41" operator="containsText" text="TS,KL">
      <formula>NOT(ISERROR(SEARCH("TS,KL",G12)))</formula>
    </cfRule>
  </conditionalFormatting>
  <conditionalFormatting sqref="G25:S27">
    <cfRule type="containsText" dxfId="27" priority="34" operator="containsText" text="TS,KL">
      <formula>NOT(ISERROR(SEARCH("TS,KL",G25)))</formula>
    </cfRule>
  </conditionalFormatting>
  <conditionalFormatting sqref="G30:S35">
    <cfRule type="containsText" dxfId="26" priority="33" operator="containsText" text="TS,KL">
      <formula>NOT(ISERROR(SEARCH("TS,KL",G30)))</formula>
    </cfRule>
  </conditionalFormatting>
  <conditionalFormatting sqref="C57:U57">
    <cfRule type="containsText" dxfId="25" priority="26" operator="containsText" text="TS,KL">
      <formula>NOT(ISERROR(SEARCH("TS,KL",C57)))</formula>
    </cfRule>
  </conditionalFormatting>
  <conditionalFormatting sqref="C23:U23">
    <cfRule type="containsText" dxfId="24" priority="31" operator="containsText" text="TS,KL">
      <formula>NOT(ISERROR(SEARCH("TS,KL",C23)))</formula>
    </cfRule>
  </conditionalFormatting>
  <conditionalFormatting sqref="C28:U28">
    <cfRule type="containsText" dxfId="23" priority="30" operator="containsText" text="TS,KL">
      <formula>NOT(ISERROR(SEARCH("TS,KL",C28)))</formula>
    </cfRule>
  </conditionalFormatting>
  <conditionalFormatting sqref="C36:U36">
    <cfRule type="containsText" dxfId="22" priority="29" operator="containsText" text="TS,KL">
      <formula>NOT(ISERROR(SEARCH("TS,KL",C36)))</formula>
    </cfRule>
  </conditionalFormatting>
  <conditionalFormatting sqref="C41:U41">
    <cfRule type="containsText" dxfId="21" priority="28" operator="containsText" text="TS,KL">
      <formula>NOT(ISERROR(SEARCH("TS,KL",C41)))</formula>
    </cfRule>
  </conditionalFormatting>
  <conditionalFormatting sqref="C46:U46">
    <cfRule type="containsText" dxfId="20" priority="27" operator="containsText" text="TS,KL">
      <formula>NOT(ISERROR(SEARCH("TS,KL",C46)))</formula>
    </cfRule>
  </conditionalFormatting>
  <conditionalFormatting sqref="C62:U62">
    <cfRule type="containsText" dxfId="19" priority="25" operator="containsText" text="TS,KL">
      <formula>NOT(ISERROR(SEARCH("TS,KL",C62)))</formula>
    </cfRule>
  </conditionalFormatting>
  <conditionalFormatting sqref="G12:S22 G25:S27 G30:S35">
    <cfRule type="expression" dxfId="18" priority="24">
      <formula>$H$5=G$10</formula>
    </cfRule>
  </conditionalFormatting>
  <conditionalFormatting sqref="I38:I39">
    <cfRule type="containsText" dxfId="17" priority="22" operator="containsText" text="TS,KL">
      <formula>NOT(ISERROR(SEARCH("TS,KL",I38)))</formula>
    </cfRule>
  </conditionalFormatting>
  <conditionalFormatting sqref="I38:I39">
    <cfRule type="expression" dxfId="16" priority="21">
      <formula>$H$5=I$10</formula>
    </cfRule>
  </conditionalFormatting>
  <conditionalFormatting sqref="I40">
    <cfRule type="containsText" dxfId="15" priority="20" operator="containsText" text="TS,KL">
      <formula>NOT(ISERROR(SEARCH("TS,KL",I40)))</formula>
    </cfRule>
  </conditionalFormatting>
  <conditionalFormatting sqref="I40">
    <cfRule type="expression" dxfId="14" priority="19">
      <formula>$H$5=I$10</formula>
    </cfRule>
  </conditionalFormatting>
  <conditionalFormatting sqref="I48">
    <cfRule type="containsText" dxfId="13" priority="6" operator="containsText" text="TS,KL">
      <formula>NOT(ISERROR(SEARCH("TS,KL",I48)))</formula>
    </cfRule>
  </conditionalFormatting>
  <conditionalFormatting sqref="I48">
    <cfRule type="expression" dxfId="12" priority="5">
      <formula>$H$5=I$10</formula>
    </cfRule>
  </conditionalFormatting>
  <conditionalFormatting sqref="G43:S45">
    <cfRule type="containsText" dxfId="11" priority="12" operator="containsText" text="TS,KL">
      <formula>NOT(ISERROR(SEARCH("TS,KL",G43)))</formula>
    </cfRule>
  </conditionalFormatting>
  <conditionalFormatting sqref="G43:S45">
    <cfRule type="expression" dxfId="10" priority="11">
      <formula>$H$5=G$10</formula>
    </cfRule>
  </conditionalFormatting>
  <conditionalFormatting sqref="G49:S51">
    <cfRule type="containsText" dxfId="9" priority="10" operator="containsText" text="TS,KL">
      <formula>NOT(ISERROR(SEARCH("TS,KL",G49)))</formula>
    </cfRule>
  </conditionalFormatting>
  <conditionalFormatting sqref="G49:S51">
    <cfRule type="expression" dxfId="8" priority="9">
      <formula>$H$5=G$10</formula>
    </cfRule>
  </conditionalFormatting>
  <conditionalFormatting sqref="G53:S55">
    <cfRule type="containsText" dxfId="7" priority="8" operator="containsText" text="TS,KL">
      <formula>NOT(ISERROR(SEARCH("TS,KL",G53)))</formula>
    </cfRule>
  </conditionalFormatting>
  <conditionalFormatting sqref="G53:S55">
    <cfRule type="expression" dxfId="6" priority="7">
      <formula>$H$5=G$10</formula>
    </cfRule>
  </conditionalFormatting>
  <conditionalFormatting sqref="I52">
    <cfRule type="containsText" dxfId="5" priority="4" operator="containsText" text="TS,KL">
      <formula>NOT(ISERROR(SEARCH("TS,KL",I52)))</formula>
    </cfRule>
  </conditionalFormatting>
  <conditionalFormatting sqref="I52">
    <cfRule type="expression" dxfId="4" priority="3">
      <formula>$H$5=I$10</formula>
    </cfRule>
  </conditionalFormatting>
  <conditionalFormatting sqref="I56">
    <cfRule type="containsText" dxfId="3" priority="2" operator="containsText" text="TS,KL">
      <formula>NOT(ISERROR(SEARCH("TS,KL",I56)))</formula>
    </cfRule>
  </conditionalFormatting>
  <conditionalFormatting sqref="I56">
    <cfRule type="expression" dxfId="2" priority="1">
      <formula>$H$5=I$10</formula>
    </cfRule>
  </conditionalFormatting>
  <dataValidations count="2">
    <dataValidation type="list" allowBlank="1" showInputMessage="1" showErrorMessage="1" sqref="F5" xr:uid="{B8E01956-6C37-4E86-A044-538929BBB8BA}">
      <formula1>"2020,2021,2022,2023"</formula1>
    </dataValidation>
    <dataValidation type="list" allowBlank="1" showInputMessage="1" showErrorMessage="1" sqref="H5" xr:uid="{5B02BA22-284A-4A3F-BFDC-84DCF8438367}">
      <formula1>$H$10:$S$10</formula1>
    </dataValidation>
  </dataValidations>
  <pageMargins left="0.7" right="0.7" top="0" bottom="0" header="0.3" footer="0.3"/>
  <pageSetup paperSize="9" scale="3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sheetPr>
  <dimension ref="A1:I20"/>
  <sheetViews>
    <sheetView zoomScaleNormal="100" workbookViewId="0">
      <pane ySplit="5" topLeftCell="A6" activePane="bottomLeft" state="frozen"/>
      <selection activeCell="F13" sqref="F13"/>
      <selection pane="bottomLeft" activeCell="D27" sqref="D27"/>
    </sheetView>
  </sheetViews>
  <sheetFormatPr defaultColWidth="8.75" defaultRowHeight="15.75" x14ac:dyDescent="0.25"/>
  <cols>
    <col min="1" max="1" width="7.25" style="46" customWidth="1"/>
    <col min="2" max="2" width="9.625" style="46" customWidth="1"/>
    <col min="3" max="3" width="15.625" style="46" bestFit="1" customWidth="1"/>
    <col min="4" max="4" width="15.625" style="46" customWidth="1"/>
    <col min="5" max="5" width="22.25" style="46" bestFit="1" customWidth="1"/>
    <col min="6" max="6" width="15.25" style="47" customWidth="1"/>
    <col min="7" max="7" width="18.25" style="46" bestFit="1" customWidth="1"/>
    <col min="8" max="8" width="12.625" style="46" customWidth="1"/>
    <col min="9" max="9" width="27.25" style="46" bestFit="1" customWidth="1"/>
    <col min="10" max="10" width="8.75" style="26"/>
    <col min="11" max="11" width="19.25" style="26" bestFit="1" customWidth="1"/>
    <col min="12" max="12" width="11.25" style="26" customWidth="1"/>
    <col min="13" max="16384" width="8.75" style="26"/>
  </cols>
  <sheetData>
    <row r="1" spans="1:9" ht="25.5" x14ac:dyDescent="0.25">
      <c r="A1" s="43" t="s">
        <v>33</v>
      </c>
      <c r="B1" s="43"/>
    </row>
    <row r="3" spans="1:9" s="45" customFormat="1" x14ac:dyDescent="0.25">
      <c r="A3" s="44" t="s">
        <v>34</v>
      </c>
      <c r="B3" s="51" t="s">
        <v>35</v>
      </c>
      <c r="C3" s="51" t="s">
        <v>35</v>
      </c>
      <c r="D3" s="51" t="s">
        <v>35</v>
      </c>
      <c r="E3" s="51" t="s">
        <v>35</v>
      </c>
      <c r="F3" s="51" t="s">
        <v>35</v>
      </c>
      <c r="G3" s="52" t="s">
        <v>36</v>
      </c>
      <c r="H3" s="51" t="s">
        <v>35</v>
      </c>
      <c r="I3" s="51" t="s">
        <v>35</v>
      </c>
    </row>
    <row r="5" spans="1:9" s="45" customFormat="1" x14ac:dyDescent="0.25">
      <c r="A5" s="48" t="s">
        <v>6</v>
      </c>
      <c r="B5" s="48" t="s">
        <v>9</v>
      </c>
      <c r="C5" s="48" t="s">
        <v>8</v>
      </c>
      <c r="D5" s="48" t="s">
        <v>13</v>
      </c>
      <c r="E5" s="48" t="s">
        <v>10</v>
      </c>
      <c r="F5" s="49" t="s">
        <v>11</v>
      </c>
      <c r="G5" s="48" t="s">
        <v>12</v>
      </c>
      <c r="H5" s="48" t="s">
        <v>16</v>
      </c>
      <c r="I5" s="48" t="s">
        <v>17</v>
      </c>
    </row>
    <row r="6" spans="1:9" x14ac:dyDescent="0.25">
      <c r="A6" s="12">
        <f>ROW()-ROW($A$5)</f>
        <v>1</v>
      </c>
      <c r="B6" s="12" t="s">
        <v>128</v>
      </c>
      <c r="C6" s="16">
        <v>12345678</v>
      </c>
      <c r="D6" s="13" t="s">
        <v>307</v>
      </c>
      <c r="E6" s="13" t="s">
        <v>278</v>
      </c>
      <c r="F6" s="239"/>
      <c r="G6" s="50" t="s">
        <v>38</v>
      </c>
      <c r="H6" s="239"/>
      <c r="I6" s="50"/>
    </row>
    <row r="7" spans="1:9" x14ac:dyDescent="0.25">
      <c r="A7" s="12">
        <f t="shared" ref="A7:A20" si="0">ROW()-ROW($A$5)</f>
        <v>2</v>
      </c>
      <c r="B7" s="12" t="s">
        <v>135</v>
      </c>
      <c r="C7" s="16">
        <v>12345678</v>
      </c>
      <c r="D7" s="13" t="s">
        <v>308</v>
      </c>
      <c r="E7" s="13" t="s">
        <v>310</v>
      </c>
      <c r="F7" s="239"/>
      <c r="G7" s="50" t="s">
        <v>38</v>
      </c>
      <c r="H7" s="239"/>
      <c r="I7" s="50"/>
    </row>
    <row r="8" spans="1:9" x14ac:dyDescent="0.25">
      <c r="A8" s="12">
        <f t="shared" si="0"/>
        <v>3</v>
      </c>
      <c r="B8" s="12" t="s">
        <v>136</v>
      </c>
      <c r="C8" s="16">
        <v>12345678</v>
      </c>
      <c r="D8" s="13" t="s">
        <v>309</v>
      </c>
      <c r="E8" s="13" t="s">
        <v>311</v>
      </c>
      <c r="F8" s="239">
        <v>43953</v>
      </c>
      <c r="G8" s="50" t="s">
        <v>40</v>
      </c>
      <c r="H8" s="239">
        <v>44014</v>
      </c>
      <c r="I8" s="50" t="s">
        <v>312</v>
      </c>
    </row>
    <row r="9" spans="1:9" x14ac:dyDescent="0.25">
      <c r="A9" s="12">
        <f t="shared" si="0"/>
        <v>4</v>
      </c>
      <c r="B9" s="14"/>
      <c r="C9" s="13"/>
      <c r="D9" s="13"/>
      <c r="E9" s="15"/>
      <c r="F9" s="239"/>
      <c r="G9" s="50"/>
      <c r="H9" s="239"/>
      <c r="I9" s="50"/>
    </row>
    <row r="10" spans="1:9" x14ac:dyDescent="0.25">
      <c r="A10" s="12">
        <f t="shared" si="0"/>
        <v>5</v>
      </c>
      <c r="B10" s="14"/>
      <c r="C10" s="13"/>
      <c r="D10" s="13"/>
      <c r="E10" s="15"/>
      <c r="F10" s="239"/>
      <c r="G10" s="50"/>
      <c r="H10" s="239"/>
      <c r="I10" s="50"/>
    </row>
    <row r="11" spans="1:9" x14ac:dyDescent="0.25">
      <c r="A11" s="12">
        <f t="shared" si="0"/>
        <v>6</v>
      </c>
      <c r="B11" s="14"/>
      <c r="C11" s="13"/>
      <c r="D11" s="13"/>
      <c r="E11" s="15"/>
      <c r="F11" s="239"/>
      <c r="G11" s="50"/>
      <c r="H11" s="239"/>
      <c r="I11" s="50"/>
    </row>
    <row r="12" spans="1:9" x14ac:dyDescent="0.25">
      <c r="A12" s="12">
        <f t="shared" si="0"/>
        <v>7</v>
      </c>
      <c r="B12" s="14"/>
      <c r="C12" s="13"/>
      <c r="D12" s="13"/>
      <c r="E12" s="15"/>
      <c r="F12" s="239"/>
      <c r="G12" s="50"/>
      <c r="H12" s="239"/>
      <c r="I12" s="50"/>
    </row>
    <row r="13" spans="1:9" x14ac:dyDescent="0.25">
      <c r="A13" s="12">
        <f t="shared" si="0"/>
        <v>8</v>
      </c>
      <c r="B13" s="14"/>
      <c r="C13" s="13"/>
      <c r="D13" s="13"/>
      <c r="E13" s="15"/>
      <c r="F13" s="239"/>
      <c r="G13" s="50"/>
      <c r="H13" s="239"/>
      <c r="I13" s="50"/>
    </row>
    <row r="14" spans="1:9" x14ac:dyDescent="0.25">
      <c r="A14" s="12">
        <f t="shared" si="0"/>
        <v>9</v>
      </c>
      <c r="B14" s="16"/>
      <c r="C14" s="13"/>
      <c r="D14" s="13"/>
      <c r="E14" s="13"/>
      <c r="F14" s="239"/>
      <c r="G14" s="50"/>
      <c r="H14" s="239"/>
      <c r="I14" s="50"/>
    </row>
    <row r="15" spans="1:9" x14ac:dyDescent="0.25">
      <c r="A15" s="12">
        <f t="shared" si="0"/>
        <v>10</v>
      </c>
      <c r="B15" s="14"/>
      <c r="C15" s="13"/>
      <c r="D15" s="13"/>
      <c r="E15" s="15"/>
      <c r="F15" s="239"/>
      <c r="G15" s="50"/>
      <c r="H15" s="239"/>
      <c r="I15" s="50"/>
    </row>
    <row r="16" spans="1:9" x14ac:dyDescent="0.25">
      <c r="A16" s="12">
        <f t="shared" si="0"/>
        <v>11</v>
      </c>
      <c r="B16" s="14"/>
      <c r="C16" s="13"/>
      <c r="D16" s="13"/>
      <c r="E16" s="15"/>
      <c r="F16" s="239"/>
      <c r="G16" s="50"/>
      <c r="H16" s="239"/>
      <c r="I16" s="50"/>
    </row>
    <row r="17" spans="1:9" x14ac:dyDescent="0.25">
      <c r="A17" s="12">
        <f t="shared" si="0"/>
        <v>12</v>
      </c>
      <c r="B17" s="14"/>
      <c r="C17" s="13"/>
      <c r="D17" s="13"/>
      <c r="E17" s="15"/>
      <c r="F17" s="239"/>
      <c r="G17" s="50"/>
      <c r="H17" s="239"/>
      <c r="I17" s="50"/>
    </row>
    <row r="18" spans="1:9" x14ac:dyDescent="0.25">
      <c r="A18" s="12">
        <f t="shared" si="0"/>
        <v>13</v>
      </c>
      <c r="B18" s="14"/>
      <c r="C18" s="13"/>
      <c r="D18" s="13"/>
      <c r="E18" s="15"/>
      <c r="F18" s="239"/>
      <c r="G18" s="50"/>
      <c r="H18" s="239"/>
      <c r="I18" s="50"/>
    </row>
    <row r="19" spans="1:9" x14ac:dyDescent="0.25">
      <c r="A19" s="12">
        <f t="shared" si="0"/>
        <v>14</v>
      </c>
      <c r="B19" s="14"/>
      <c r="C19" s="13"/>
      <c r="D19" s="13"/>
      <c r="E19" s="15"/>
      <c r="F19" s="239"/>
      <c r="G19" s="50"/>
      <c r="H19" s="239"/>
      <c r="I19" s="50"/>
    </row>
    <row r="20" spans="1:9" x14ac:dyDescent="0.25">
      <c r="A20" s="12">
        <f t="shared" si="0"/>
        <v>15</v>
      </c>
      <c r="B20" s="14"/>
      <c r="C20" s="13"/>
      <c r="D20" s="13"/>
      <c r="E20" s="15"/>
      <c r="F20" s="239"/>
      <c r="G20" s="50"/>
      <c r="H20" s="239"/>
      <c r="I20" s="50"/>
    </row>
  </sheetData>
  <autoFilter ref="A5:I5" xr:uid="{66E7062F-839F-428D-85FE-20522A079B50}"/>
  <phoneticPr fontId="17" type="noConversion"/>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13A92A4-E564-4368-B332-E1DBA1706F48}">
          <x14:formula1>
            <xm:f>HDSD!$C$60:$C$63</xm:f>
          </x14:formula1>
          <xm:sqref>G6:G20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2A8E-AF34-4B29-8BC3-F146FB535DD7}">
  <sheetPr codeName="Sheet5">
    <tabColor theme="7"/>
  </sheetPr>
  <dimension ref="A1:CC29"/>
  <sheetViews>
    <sheetView zoomScale="70" zoomScaleNormal="70" workbookViewId="0">
      <selection activeCell="E11" sqref="E10:E11"/>
    </sheetView>
  </sheetViews>
  <sheetFormatPr defaultColWidth="8.75" defaultRowHeight="15.75" x14ac:dyDescent="0.25"/>
  <cols>
    <col min="1" max="1" width="5" style="26" customWidth="1"/>
    <col min="2" max="2" width="14.25" style="26" bestFit="1" customWidth="1"/>
    <col min="3" max="3" width="8.375" style="26"/>
    <col min="4" max="4" width="20.75" style="26" bestFit="1" customWidth="1"/>
    <col min="5" max="5" width="11.875" style="26" bestFit="1" customWidth="1"/>
    <col min="6" max="7" width="13.25" style="26" customWidth="1"/>
    <col min="8" max="8" width="12.375" style="26" customWidth="1"/>
    <col min="9" max="9" width="9.25" style="26" customWidth="1"/>
    <col min="10" max="10" width="7.5" style="26" customWidth="1"/>
    <col min="11" max="11" width="11.375" style="26" customWidth="1"/>
    <col min="12" max="12" width="12.25" style="26" customWidth="1"/>
    <col min="13" max="13" width="12.75" style="26" customWidth="1"/>
    <col min="14" max="14" width="13" style="26" customWidth="1"/>
    <col min="15" max="15" width="13.75" style="26" customWidth="1"/>
    <col min="16" max="17" width="11.5" style="26" customWidth="1"/>
    <col min="18" max="18" width="11.625" style="26" customWidth="1"/>
    <col min="19" max="19" width="12.25" style="26" customWidth="1"/>
    <col min="20" max="20" width="12.75" style="26" customWidth="1"/>
    <col min="21" max="21" width="14.25" style="26" customWidth="1"/>
    <col min="22" max="22" width="12.75" style="26" bestFit="1" customWidth="1"/>
    <col min="23" max="25" width="12.75" style="26" customWidth="1"/>
    <col min="26" max="51" width="11.125" style="26" customWidth="1"/>
    <col min="52" max="64" width="8.75" style="26"/>
    <col min="65" max="65" width="6.25" style="26" customWidth="1"/>
    <col min="66" max="66" width="8.75" style="26"/>
    <col min="67" max="67" width="20.5" style="26" customWidth="1"/>
    <col min="68" max="68" width="19.125" style="26" bestFit="1" customWidth="1"/>
    <col min="69" max="69" width="21.625" style="26" customWidth="1"/>
    <col min="70" max="70" width="17.25" style="26" customWidth="1"/>
    <col min="71" max="71" width="22.25" style="26" customWidth="1"/>
    <col min="72" max="72" width="6.25" style="26" customWidth="1"/>
    <col min="73" max="73" width="8.75" style="26"/>
    <col min="74" max="74" width="26.75" style="26" customWidth="1"/>
    <col min="75" max="75" width="27.875" style="26" customWidth="1"/>
    <col min="76" max="76" width="36.625" style="26" customWidth="1"/>
    <col min="77" max="77" width="6.375" style="26" customWidth="1"/>
    <col min="78" max="78" width="8.75" style="26"/>
    <col min="79" max="79" width="26.75" style="26" customWidth="1"/>
    <col min="80" max="80" width="34.75" style="26" customWidth="1"/>
    <col min="81" max="81" width="36.625" style="26" customWidth="1"/>
    <col min="82" max="16384" width="8.75" style="26"/>
  </cols>
  <sheetData>
    <row r="1" spans="1:81" ht="33" x14ac:dyDescent="0.25">
      <c r="A1" s="146" t="s">
        <v>268</v>
      </c>
      <c r="B1" s="146"/>
      <c r="C1" s="146"/>
      <c r="D1" s="146"/>
      <c r="E1" s="146"/>
      <c r="F1" s="146"/>
      <c r="G1" s="146"/>
      <c r="H1" s="146"/>
      <c r="I1" s="146"/>
      <c r="J1" s="146"/>
      <c r="K1" s="146"/>
      <c r="L1" s="146"/>
      <c r="M1" s="146"/>
      <c r="N1" s="146"/>
      <c r="O1" s="146"/>
      <c r="P1" s="147"/>
      <c r="Q1" s="147"/>
      <c r="R1" s="146"/>
      <c r="S1" s="146"/>
      <c r="T1" s="146"/>
      <c r="U1" s="146"/>
      <c r="V1" s="146"/>
      <c r="W1" s="146"/>
      <c r="X1" s="146"/>
      <c r="Y1" s="147" t="s">
        <v>188</v>
      </c>
      <c r="Z1" s="148">
        <f>E2</f>
        <v>43800</v>
      </c>
      <c r="AA1" s="148">
        <f>DATE(YEAR(Z1+40),MONTH(Z1+40),1)</f>
        <v>43831</v>
      </c>
      <c r="AB1" s="148">
        <f t="shared" ref="AB1:AL1" si="0">DATE(YEAR(AA1+40),MONTH(AA1+40),1)</f>
        <v>43862</v>
      </c>
      <c r="AC1" s="148">
        <f t="shared" si="0"/>
        <v>43891</v>
      </c>
      <c r="AD1" s="148">
        <f t="shared" si="0"/>
        <v>43922</v>
      </c>
      <c r="AE1" s="148">
        <f t="shared" si="0"/>
        <v>43952</v>
      </c>
      <c r="AF1" s="148">
        <f t="shared" si="0"/>
        <v>43983</v>
      </c>
      <c r="AG1" s="148">
        <f t="shared" si="0"/>
        <v>44013</v>
      </c>
      <c r="AH1" s="148">
        <f t="shared" si="0"/>
        <v>44044</v>
      </c>
      <c r="AI1" s="148">
        <f t="shared" si="0"/>
        <v>44075</v>
      </c>
      <c r="AJ1" s="148">
        <f t="shared" si="0"/>
        <v>44105</v>
      </c>
      <c r="AK1" s="148">
        <f t="shared" si="0"/>
        <v>44136</v>
      </c>
      <c r="AL1" s="148">
        <f t="shared" si="0"/>
        <v>44166</v>
      </c>
      <c r="AM1" s="147"/>
      <c r="AN1" s="149" t="s">
        <v>259</v>
      </c>
      <c r="AO1" s="149" t="s">
        <v>260</v>
      </c>
      <c r="AP1" s="149" t="s">
        <v>261</v>
      </c>
      <c r="AQ1" s="205" t="s">
        <v>281</v>
      </c>
      <c r="AR1" s="149"/>
      <c r="AS1" s="149"/>
      <c r="AT1" s="149"/>
      <c r="AU1" s="149"/>
      <c r="AV1" s="147"/>
      <c r="AW1" s="147"/>
      <c r="AX1" s="147"/>
      <c r="AY1" s="147"/>
      <c r="AZ1" s="147"/>
      <c r="BA1" s="147"/>
      <c r="BB1" s="147"/>
      <c r="BC1" s="147"/>
      <c r="BD1" s="147"/>
      <c r="BE1" s="147"/>
      <c r="BF1" s="147"/>
      <c r="BG1" s="147"/>
      <c r="BH1" s="147"/>
      <c r="BI1" s="147"/>
      <c r="BJ1" s="147"/>
      <c r="BK1" s="147"/>
      <c r="BL1" s="147"/>
      <c r="BN1" s="146" t="s">
        <v>304</v>
      </c>
      <c r="BO1" s="146"/>
      <c r="BP1" s="146"/>
      <c r="BQ1" s="146"/>
      <c r="BR1" s="146"/>
      <c r="BS1" s="146"/>
      <c r="BU1" s="146" t="s">
        <v>276</v>
      </c>
      <c r="BV1" s="147"/>
      <c r="BW1" s="147"/>
      <c r="BX1" s="147"/>
      <c r="BZ1" s="146" t="s">
        <v>305</v>
      </c>
      <c r="CA1" s="147"/>
      <c r="CB1" s="147"/>
      <c r="CC1" s="147"/>
    </row>
    <row r="2" spans="1:81" x14ac:dyDescent="0.25">
      <c r="A2" s="64"/>
      <c r="B2" s="64"/>
      <c r="C2" s="65"/>
      <c r="D2" s="253" t="s">
        <v>236</v>
      </c>
      <c r="E2" s="108">
        <f>DATE('III.Report năm'!F5-1,12,1)</f>
        <v>43800</v>
      </c>
      <c r="F2" s="150"/>
      <c r="G2" s="150"/>
      <c r="H2" s="150"/>
      <c r="I2" s="252" t="s">
        <v>119</v>
      </c>
      <c r="J2" s="341" t="str">
        <f ca="1">IF(SUM(INDIRECT($J$6))&gt;0,"Lỗi trùng thu nhập","Ok")</f>
        <v>Ok</v>
      </c>
      <c r="K2" s="341"/>
      <c r="O2" s="64"/>
      <c r="R2" s="66"/>
      <c r="S2" s="66"/>
      <c r="T2" s="65"/>
      <c r="U2" s="65"/>
      <c r="V2" s="67"/>
      <c r="W2" s="243"/>
      <c r="X2" s="67"/>
      <c r="Y2" s="26" t="s">
        <v>189</v>
      </c>
      <c r="Z2" s="107">
        <f>EOMONTH(Z1,0)</f>
        <v>43830</v>
      </c>
      <c r="AA2" s="107">
        <f t="shared" ref="AA2:AL2" si="1">EOMONTH(AA1,0)</f>
        <v>43861</v>
      </c>
      <c r="AB2" s="107">
        <f t="shared" si="1"/>
        <v>43890</v>
      </c>
      <c r="AC2" s="107">
        <f t="shared" si="1"/>
        <v>43921</v>
      </c>
      <c r="AD2" s="107">
        <f t="shared" si="1"/>
        <v>43951</v>
      </c>
      <c r="AE2" s="107">
        <f t="shared" si="1"/>
        <v>43982</v>
      </c>
      <c r="AF2" s="107">
        <f t="shared" si="1"/>
        <v>44012</v>
      </c>
      <c r="AG2" s="107">
        <f t="shared" si="1"/>
        <v>44043</v>
      </c>
      <c r="AH2" s="107">
        <f t="shared" si="1"/>
        <v>44074</v>
      </c>
      <c r="AI2" s="107">
        <f t="shared" si="1"/>
        <v>44104</v>
      </c>
      <c r="AJ2" s="107">
        <f t="shared" si="1"/>
        <v>44135</v>
      </c>
      <c r="AK2" s="107">
        <f t="shared" si="1"/>
        <v>44165</v>
      </c>
      <c r="AL2" s="107">
        <f t="shared" si="1"/>
        <v>44196</v>
      </c>
      <c r="AN2" s="144">
        <v>2</v>
      </c>
      <c r="AO2" s="144">
        <v>2</v>
      </c>
      <c r="AP2" s="144">
        <v>2</v>
      </c>
      <c r="AQ2" s="144">
        <v>1</v>
      </c>
      <c r="AR2" s="144"/>
      <c r="AS2" s="144"/>
      <c r="AT2" s="144"/>
      <c r="AU2" s="144"/>
    </row>
    <row r="3" spans="1:81" x14ac:dyDescent="0.25">
      <c r="A3" s="64"/>
      <c r="B3" s="64"/>
      <c r="C3" s="65"/>
      <c r="D3" s="253" t="s">
        <v>238</v>
      </c>
      <c r="E3" s="150">
        <f>'III.Report năm'!H5</f>
        <v>43891</v>
      </c>
      <c r="F3" s="150">
        <f>EOMONTH(E3,0)</f>
        <v>43921</v>
      </c>
      <c r="G3" s="150"/>
      <c r="J3" s="68"/>
      <c r="K3" s="68"/>
      <c r="L3" s="66"/>
      <c r="M3" s="69"/>
      <c r="N3" s="70"/>
      <c r="O3" s="71"/>
      <c r="R3" s="66"/>
      <c r="S3" s="66"/>
      <c r="T3" s="70"/>
      <c r="U3" s="70"/>
      <c r="V3" s="71"/>
      <c r="W3" s="71"/>
      <c r="X3" s="71"/>
      <c r="Y3" s="26" t="s">
        <v>190</v>
      </c>
      <c r="Z3" s="106">
        <f>DATE(YEAR(Z2),MONTH(Z2),15)</f>
        <v>43814</v>
      </c>
      <c r="AA3" s="106">
        <f t="shared" ref="AA3:AL3" si="2">DATE(YEAR(AA2),MONTH(AA2),15)</f>
        <v>43845</v>
      </c>
      <c r="AB3" s="106">
        <f t="shared" si="2"/>
        <v>43876</v>
      </c>
      <c r="AC3" s="106">
        <f t="shared" si="2"/>
        <v>43905</v>
      </c>
      <c r="AD3" s="106">
        <f t="shared" si="2"/>
        <v>43936</v>
      </c>
      <c r="AE3" s="106">
        <f t="shared" si="2"/>
        <v>43966</v>
      </c>
      <c r="AF3" s="106">
        <f t="shared" si="2"/>
        <v>43997</v>
      </c>
      <c r="AG3" s="106">
        <f t="shared" si="2"/>
        <v>44027</v>
      </c>
      <c r="AH3" s="106">
        <f t="shared" si="2"/>
        <v>44058</v>
      </c>
      <c r="AI3" s="106">
        <f t="shared" si="2"/>
        <v>44089</v>
      </c>
      <c r="AJ3" s="106">
        <f t="shared" si="2"/>
        <v>44119</v>
      </c>
      <c r="AK3" s="106">
        <f t="shared" si="2"/>
        <v>44150</v>
      </c>
      <c r="AL3" s="106">
        <f t="shared" si="2"/>
        <v>44180</v>
      </c>
    </row>
    <row r="4" spans="1:81" x14ac:dyDescent="0.25">
      <c r="A4" s="64"/>
      <c r="B4" s="64"/>
      <c r="C4" s="65"/>
      <c r="D4" s="64"/>
      <c r="E4" s="64"/>
      <c r="F4" s="72"/>
      <c r="G4" s="72"/>
      <c r="H4" s="72"/>
      <c r="I4" s="65"/>
      <c r="J4" s="65"/>
      <c r="K4" s="65"/>
      <c r="L4" s="66"/>
      <c r="M4" s="66"/>
      <c r="N4" s="72"/>
      <c r="O4" s="73"/>
      <c r="P4" s="72"/>
      <c r="Q4" s="72"/>
      <c r="R4" s="66"/>
      <c r="S4" s="66"/>
      <c r="T4" s="72"/>
      <c r="U4" s="72"/>
      <c r="V4" s="72"/>
      <c r="W4" s="72"/>
      <c r="X4" s="72"/>
      <c r="Y4" s="72"/>
      <c r="Z4" s="342" t="s">
        <v>253</v>
      </c>
      <c r="AA4" s="343"/>
      <c r="AB4" s="343"/>
      <c r="AC4" s="343"/>
      <c r="AD4" s="343"/>
      <c r="AE4" s="343"/>
      <c r="AF4" s="343"/>
      <c r="AG4" s="343"/>
      <c r="AH4" s="343"/>
      <c r="AI4" s="343"/>
      <c r="AJ4" s="343"/>
      <c r="AK4" s="343"/>
      <c r="AL4" s="343"/>
      <c r="AM4" s="344" t="s">
        <v>257</v>
      </c>
      <c r="AN4" s="344"/>
      <c r="AO4" s="344"/>
      <c r="AP4" s="344"/>
      <c r="AQ4" s="344"/>
      <c r="AR4" s="344"/>
      <c r="AS4" s="344"/>
      <c r="AT4" s="344"/>
      <c r="AU4" s="344"/>
      <c r="AV4" s="344"/>
      <c r="AW4" s="344"/>
      <c r="AX4" s="344"/>
      <c r="AY4" s="344"/>
      <c r="AZ4" s="345" t="s">
        <v>262</v>
      </c>
      <c r="BA4" s="345"/>
      <c r="BB4" s="345"/>
      <c r="BC4" s="345"/>
      <c r="BD4" s="345"/>
      <c r="BE4" s="345"/>
      <c r="BF4" s="345"/>
      <c r="BG4" s="345"/>
      <c r="BH4" s="345"/>
      <c r="BI4" s="345"/>
      <c r="BJ4" s="345"/>
      <c r="BK4" s="345"/>
      <c r="BL4" s="345"/>
    </row>
    <row r="5" spans="1:81" s="127" customFormat="1" ht="15" x14ac:dyDescent="0.25">
      <c r="A5" s="74" t="s">
        <v>34</v>
      </c>
      <c r="B5" s="75" t="s">
        <v>35</v>
      </c>
      <c r="C5" s="75" t="s">
        <v>35</v>
      </c>
      <c r="D5" s="75" t="s">
        <v>35</v>
      </c>
      <c r="E5" s="76" t="s">
        <v>36</v>
      </c>
      <c r="F5" s="74" t="s">
        <v>34</v>
      </c>
      <c r="G5" s="74"/>
      <c r="H5" s="74"/>
      <c r="I5" s="74" t="s">
        <v>34</v>
      </c>
      <c r="J5" s="74" t="s">
        <v>34</v>
      </c>
      <c r="K5" s="75" t="s">
        <v>35</v>
      </c>
      <c r="L5" s="75" t="s">
        <v>35</v>
      </c>
      <c r="M5" s="76" t="s">
        <v>36</v>
      </c>
      <c r="N5" s="75" t="s">
        <v>35</v>
      </c>
      <c r="O5" s="76" t="s">
        <v>36</v>
      </c>
      <c r="P5" s="76" t="s">
        <v>36</v>
      </c>
      <c r="Q5" s="74" t="s">
        <v>34</v>
      </c>
      <c r="R5" s="74" t="s">
        <v>34</v>
      </c>
      <c r="S5" s="74" t="s">
        <v>34</v>
      </c>
      <c r="T5" s="74" t="s">
        <v>34</v>
      </c>
      <c r="U5" s="74" t="s">
        <v>34</v>
      </c>
      <c r="V5" s="74" t="s">
        <v>34</v>
      </c>
      <c r="W5" s="74" t="s">
        <v>34</v>
      </c>
      <c r="X5" s="74" t="s">
        <v>34</v>
      </c>
      <c r="Y5" s="74" t="s">
        <v>34</v>
      </c>
      <c r="Z5" s="74" t="s">
        <v>34</v>
      </c>
      <c r="AA5" s="74" t="s">
        <v>34</v>
      </c>
      <c r="AB5" s="74" t="s">
        <v>34</v>
      </c>
      <c r="AC5" s="74" t="s">
        <v>34</v>
      </c>
      <c r="AD5" s="74" t="s">
        <v>34</v>
      </c>
      <c r="AE5" s="74" t="s">
        <v>34</v>
      </c>
      <c r="AF5" s="74" t="s">
        <v>34</v>
      </c>
      <c r="AG5" s="74" t="s">
        <v>34</v>
      </c>
      <c r="AH5" s="74" t="s">
        <v>34</v>
      </c>
      <c r="AI5" s="74" t="s">
        <v>34</v>
      </c>
      <c r="AJ5" s="74" t="s">
        <v>34</v>
      </c>
      <c r="AK5" s="74" t="s">
        <v>34</v>
      </c>
      <c r="AL5" s="74" t="s">
        <v>34</v>
      </c>
      <c r="AM5" s="74" t="s">
        <v>34</v>
      </c>
      <c r="AN5" s="74" t="s">
        <v>34</v>
      </c>
      <c r="AO5" s="74" t="s">
        <v>34</v>
      </c>
      <c r="AP5" s="74" t="s">
        <v>34</v>
      </c>
      <c r="AQ5" s="74" t="s">
        <v>34</v>
      </c>
      <c r="AR5" s="74" t="s">
        <v>34</v>
      </c>
      <c r="AS5" s="74" t="s">
        <v>34</v>
      </c>
      <c r="AT5" s="74" t="s">
        <v>34</v>
      </c>
      <c r="AU5" s="74" t="s">
        <v>34</v>
      </c>
      <c r="AV5" s="74" t="s">
        <v>34</v>
      </c>
      <c r="AW5" s="74" t="s">
        <v>34</v>
      </c>
      <c r="AX5" s="74" t="s">
        <v>34</v>
      </c>
      <c r="AY5" s="74" t="s">
        <v>34</v>
      </c>
      <c r="AZ5" s="74" t="s">
        <v>34</v>
      </c>
      <c r="BA5" s="74" t="s">
        <v>34</v>
      </c>
      <c r="BB5" s="74" t="s">
        <v>34</v>
      </c>
      <c r="BC5" s="74" t="s">
        <v>34</v>
      </c>
      <c r="BD5" s="74" t="s">
        <v>34</v>
      </c>
      <c r="BE5" s="74" t="s">
        <v>34</v>
      </c>
      <c r="BF5" s="74" t="s">
        <v>34</v>
      </c>
      <c r="BG5" s="74" t="s">
        <v>34</v>
      </c>
      <c r="BH5" s="74" t="s">
        <v>34</v>
      </c>
      <c r="BI5" s="74" t="s">
        <v>34</v>
      </c>
      <c r="BJ5" s="74" t="s">
        <v>34</v>
      </c>
      <c r="BK5" s="74" t="s">
        <v>34</v>
      </c>
      <c r="BL5" s="74" t="s">
        <v>34</v>
      </c>
      <c r="BN5" s="74" t="s">
        <v>34</v>
      </c>
      <c r="BO5" s="75" t="s">
        <v>35</v>
      </c>
      <c r="BP5" s="75" t="s">
        <v>35</v>
      </c>
      <c r="BQ5" s="75" t="s">
        <v>35</v>
      </c>
      <c r="BR5" s="74" t="s">
        <v>34</v>
      </c>
      <c r="BS5" s="75" t="s">
        <v>35</v>
      </c>
      <c r="BU5" s="74" t="s">
        <v>34</v>
      </c>
      <c r="BV5" s="75" t="s">
        <v>35</v>
      </c>
      <c r="BW5" s="75" t="s">
        <v>35</v>
      </c>
      <c r="BX5" s="75" t="s">
        <v>35</v>
      </c>
      <c r="BZ5" s="74" t="s">
        <v>34</v>
      </c>
      <c r="CA5" s="74" t="s">
        <v>34</v>
      </c>
      <c r="CB5" s="74" t="s">
        <v>34</v>
      </c>
      <c r="CC5" s="74" t="s">
        <v>34</v>
      </c>
    </row>
    <row r="6" spans="1:81" s="225" customFormat="1" ht="13.9" customHeight="1" x14ac:dyDescent="0.25">
      <c r="A6" s="224" t="str">
        <f>ADDRESS(ROW($A$8),1,1,1,"I.QTBH") &amp; ":" &amp; ADDRESS(MAX(A8:A999694)+6,1,1,1)</f>
        <v>I.QTBH!$A$8:$A$15</v>
      </c>
      <c r="B6" s="224" t="str">
        <f>SUBSTITUTE($A$6,"$A$","$"&amp;LEFT(ADDRESS(1,COLUMN(),4,1),LEN(ADDRESS(1,COLUMN(),4,1))-1)&amp;"$")</f>
        <v>I.QTBH!$B$8:$B$15</v>
      </c>
      <c r="C6" s="224" t="str">
        <f t="shared" ref="C6:BL6" si="3">SUBSTITUTE($A$6,"$A$","$"&amp;LEFT(ADDRESS(1,COLUMN(),4,1),LEN(ADDRESS(1,COLUMN(),4,1))-1)&amp;"$")</f>
        <v>I.QTBH!$C$8:$C$15</v>
      </c>
      <c r="D6" s="224" t="str">
        <f t="shared" si="3"/>
        <v>I.QTBH!$D$8:$D$15</v>
      </c>
      <c r="E6" s="224" t="str">
        <f t="shared" si="3"/>
        <v>I.QTBH!$E$8:$E$15</v>
      </c>
      <c r="F6" s="228" t="str">
        <f t="shared" si="3"/>
        <v>I.QTBH!$F$8:$F$15</v>
      </c>
      <c r="G6" s="228" t="str">
        <f t="shared" si="3"/>
        <v>I.QTBH!$G$8:$G$15</v>
      </c>
      <c r="H6" s="224"/>
      <c r="I6" s="224" t="str">
        <f t="shared" si="3"/>
        <v>I.QTBH!$I$8:$I$15</v>
      </c>
      <c r="J6" s="224" t="str">
        <f t="shared" si="3"/>
        <v>I.QTBH!$J$8:$J$15</v>
      </c>
      <c r="K6" s="224" t="str">
        <f t="shared" si="3"/>
        <v>I.QTBH!$K$8:$K$15</v>
      </c>
      <c r="L6" s="224" t="str">
        <f t="shared" si="3"/>
        <v>I.QTBH!$L$8:$L$15</v>
      </c>
      <c r="M6" s="224" t="str">
        <f t="shared" si="3"/>
        <v>I.QTBH!$M$8:$M$15</v>
      </c>
      <c r="N6" s="224" t="str">
        <f t="shared" si="3"/>
        <v>I.QTBH!$N$8:$N$15</v>
      </c>
      <c r="O6" s="224" t="str">
        <f t="shared" si="3"/>
        <v>I.QTBH!$O$8:$O$15</v>
      </c>
      <c r="P6" s="224" t="str">
        <f t="shared" si="3"/>
        <v>I.QTBH!$P$8:$P$15</v>
      </c>
      <c r="Q6" s="224" t="str">
        <f t="shared" si="3"/>
        <v>I.QTBH!$Q$8:$Q$15</v>
      </c>
      <c r="R6" s="224" t="str">
        <f t="shared" si="3"/>
        <v>I.QTBH!$R$8:$R$15</v>
      </c>
      <c r="S6" s="224" t="str">
        <f t="shared" si="3"/>
        <v>I.QTBH!$S$8:$S$15</v>
      </c>
      <c r="T6" s="224" t="str">
        <f t="shared" si="3"/>
        <v>I.QTBH!$T$8:$T$15</v>
      </c>
      <c r="U6" s="224" t="str">
        <f t="shared" si="3"/>
        <v>I.QTBH!$U$8:$U$15</v>
      </c>
      <c r="V6" s="224" t="str">
        <f t="shared" si="3"/>
        <v>I.QTBH!$V$8:$V$15</v>
      </c>
      <c r="W6" s="224" t="str">
        <f t="shared" si="3"/>
        <v>I.QTBH!$W$8:$W$15</v>
      </c>
      <c r="X6" s="224" t="str">
        <f t="shared" si="3"/>
        <v>I.QTBH!$X$8:$X$15</v>
      </c>
      <c r="Y6" s="224" t="str">
        <f t="shared" si="3"/>
        <v>I.QTBH!$Y$8:$Y$15</v>
      </c>
      <c r="Z6" s="224" t="str">
        <f t="shared" si="3"/>
        <v>I.QTBH!$Z$8:$Z$15</v>
      </c>
      <c r="AA6" s="224" t="str">
        <f t="shared" si="3"/>
        <v>I.QTBH!$AA$8:$AA$15</v>
      </c>
      <c r="AB6" s="224" t="str">
        <f t="shared" si="3"/>
        <v>I.QTBH!$AB$8:$AB$15</v>
      </c>
      <c r="AC6" s="224" t="str">
        <f t="shared" si="3"/>
        <v>I.QTBH!$AC$8:$AC$15</v>
      </c>
      <c r="AD6" s="224" t="str">
        <f t="shared" si="3"/>
        <v>I.QTBH!$AD$8:$AD$15</v>
      </c>
      <c r="AE6" s="224" t="str">
        <f t="shared" si="3"/>
        <v>I.QTBH!$AE$8:$AE$15</v>
      </c>
      <c r="AF6" s="224" t="str">
        <f t="shared" si="3"/>
        <v>I.QTBH!$AF$8:$AF$15</v>
      </c>
      <c r="AG6" s="224" t="str">
        <f t="shared" si="3"/>
        <v>I.QTBH!$AG$8:$AG$15</v>
      </c>
      <c r="AH6" s="224" t="str">
        <f t="shared" si="3"/>
        <v>I.QTBH!$AH$8:$AH$15</v>
      </c>
      <c r="AI6" s="224" t="str">
        <f t="shared" si="3"/>
        <v>I.QTBH!$AI$8:$AI$15</v>
      </c>
      <c r="AJ6" s="224" t="str">
        <f t="shared" si="3"/>
        <v>I.QTBH!$AJ$8:$AJ$15</v>
      </c>
      <c r="AK6" s="224" t="str">
        <f t="shared" si="3"/>
        <v>I.QTBH!$AK$8:$AK$15</v>
      </c>
      <c r="AL6" s="224" t="str">
        <f t="shared" si="3"/>
        <v>I.QTBH!$AL$8:$AL$15</v>
      </c>
      <c r="AM6" s="224" t="str">
        <f t="shared" si="3"/>
        <v>I.QTBH!$AM$8:$AM$15</v>
      </c>
      <c r="AN6" s="224" t="str">
        <f t="shared" si="3"/>
        <v>I.QTBH!$AN$8:$AN$15</v>
      </c>
      <c r="AO6" s="224" t="str">
        <f t="shared" si="3"/>
        <v>I.QTBH!$AO$8:$AO$15</v>
      </c>
      <c r="AP6" s="224" t="str">
        <f t="shared" si="3"/>
        <v>I.QTBH!$AP$8:$AP$15</v>
      </c>
      <c r="AQ6" s="224" t="str">
        <f t="shared" si="3"/>
        <v>I.QTBH!$AQ$8:$AQ$15</v>
      </c>
      <c r="AR6" s="224" t="str">
        <f t="shared" si="3"/>
        <v>I.QTBH!$AR$8:$AR$15</v>
      </c>
      <c r="AS6" s="224" t="str">
        <f t="shared" si="3"/>
        <v>I.QTBH!$AS$8:$AS$15</v>
      </c>
      <c r="AT6" s="224" t="str">
        <f t="shared" si="3"/>
        <v>I.QTBH!$AT$8:$AT$15</v>
      </c>
      <c r="AU6" s="224" t="str">
        <f t="shared" si="3"/>
        <v>I.QTBH!$AU$8:$AU$15</v>
      </c>
      <c r="AV6" s="224" t="str">
        <f t="shared" si="3"/>
        <v>I.QTBH!$AV$8:$AV$15</v>
      </c>
      <c r="AW6" s="224" t="str">
        <f t="shared" si="3"/>
        <v>I.QTBH!$AW$8:$AW$15</v>
      </c>
      <c r="AX6" s="224" t="str">
        <f t="shared" si="3"/>
        <v>I.QTBH!$AX$8:$AX$15</v>
      </c>
      <c r="AY6" s="224" t="str">
        <f t="shared" si="3"/>
        <v>I.QTBH!$AY$8:$AY$15</v>
      </c>
      <c r="AZ6" s="224" t="str">
        <f t="shared" si="3"/>
        <v>I.QTBH!$AZ$8:$AZ$15</v>
      </c>
      <c r="BA6" s="224" t="str">
        <f t="shared" si="3"/>
        <v>I.QTBH!$BA$8:$BA$15</v>
      </c>
      <c r="BB6" s="224" t="str">
        <f t="shared" si="3"/>
        <v>I.QTBH!$BB$8:$BB$15</v>
      </c>
      <c r="BC6" s="224" t="str">
        <f t="shared" si="3"/>
        <v>I.QTBH!$BC$8:$BC$15</v>
      </c>
      <c r="BD6" s="224" t="str">
        <f t="shared" si="3"/>
        <v>I.QTBH!$BD$8:$BD$15</v>
      </c>
      <c r="BE6" s="224" t="str">
        <f t="shared" si="3"/>
        <v>I.QTBH!$BE$8:$BE$15</v>
      </c>
      <c r="BF6" s="224" t="str">
        <f t="shared" si="3"/>
        <v>I.QTBH!$BF$8:$BF$15</v>
      </c>
      <c r="BG6" s="224" t="str">
        <f t="shared" si="3"/>
        <v>I.QTBH!$BG$8:$BG$15</v>
      </c>
      <c r="BH6" s="224" t="str">
        <f t="shared" si="3"/>
        <v>I.QTBH!$BH$8:$BH$15</v>
      </c>
      <c r="BI6" s="224" t="str">
        <f t="shared" si="3"/>
        <v>I.QTBH!$BI$8:$BI$15</v>
      </c>
      <c r="BJ6" s="224" t="str">
        <f t="shared" si="3"/>
        <v>I.QTBH!$BJ$8:$BJ$15</v>
      </c>
      <c r="BK6" s="224" t="str">
        <f t="shared" si="3"/>
        <v>I.QTBH!$BK$8:$BK$15</v>
      </c>
      <c r="BL6" s="224" t="str">
        <f t="shared" si="3"/>
        <v>I.QTBH!$BL$8:$BL$15</v>
      </c>
    </row>
    <row r="7" spans="1:81" s="127" customFormat="1" ht="42.75" x14ac:dyDescent="0.25">
      <c r="A7" s="77" t="s">
        <v>6</v>
      </c>
      <c r="B7" s="77" t="s">
        <v>20</v>
      </c>
      <c r="C7" s="77" t="s">
        <v>9</v>
      </c>
      <c r="D7" s="77" t="s">
        <v>0</v>
      </c>
      <c r="E7" s="77" t="s">
        <v>120</v>
      </c>
      <c r="F7" s="77" t="s">
        <v>249</v>
      </c>
      <c r="G7" s="77" t="s">
        <v>295</v>
      </c>
      <c r="H7" s="77" t="s">
        <v>294</v>
      </c>
      <c r="I7" s="77" t="s">
        <v>122</v>
      </c>
      <c r="J7" s="77" t="s">
        <v>123</v>
      </c>
      <c r="K7" s="78" t="s">
        <v>124</v>
      </c>
      <c r="L7" s="78" t="s">
        <v>125</v>
      </c>
      <c r="M7" s="77" t="s">
        <v>126</v>
      </c>
      <c r="N7" s="79" t="s">
        <v>127</v>
      </c>
      <c r="O7" s="77" t="s">
        <v>14</v>
      </c>
      <c r="P7" s="77" t="s">
        <v>139</v>
      </c>
      <c r="Q7" s="78" t="s">
        <v>299</v>
      </c>
      <c r="R7" s="78" t="s">
        <v>259</v>
      </c>
      <c r="S7" s="78" t="s">
        <v>263</v>
      </c>
      <c r="T7" s="226" t="s">
        <v>255</v>
      </c>
      <c r="U7" s="226" t="s">
        <v>254</v>
      </c>
      <c r="V7" s="227" t="s">
        <v>258</v>
      </c>
      <c r="W7" s="227" t="s">
        <v>256</v>
      </c>
      <c r="X7" s="79" t="s">
        <v>282</v>
      </c>
      <c r="Y7" s="79" t="s">
        <v>283</v>
      </c>
      <c r="Z7" s="139">
        <f>'III.Report năm'!G10</f>
        <v>43800</v>
      </c>
      <c r="AA7" s="139">
        <f>'III.Report năm'!H10</f>
        <v>43831</v>
      </c>
      <c r="AB7" s="139">
        <f>'III.Report năm'!I10</f>
        <v>43862</v>
      </c>
      <c r="AC7" s="139">
        <f>'III.Report năm'!J10</f>
        <v>43891</v>
      </c>
      <c r="AD7" s="139">
        <f>'III.Report năm'!K10</f>
        <v>43922</v>
      </c>
      <c r="AE7" s="139">
        <f>'III.Report năm'!L10</f>
        <v>43952</v>
      </c>
      <c r="AF7" s="139">
        <f>'III.Report năm'!M10</f>
        <v>43983</v>
      </c>
      <c r="AG7" s="139">
        <f>'III.Report năm'!N10</f>
        <v>44013</v>
      </c>
      <c r="AH7" s="139">
        <f>'III.Report năm'!O10</f>
        <v>44044</v>
      </c>
      <c r="AI7" s="139">
        <f>'III.Report năm'!P10</f>
        <v>44075</v>
      </c>
      <c r="AJ7" s="139">
        <f>'III.Report năm'!Q10</f>
        <v>44105</v>
      </c>
      <c r="AK7" s="139">
        <f>'III.Report năm'!R10</f>
        <v>44136</v>
      </c>
      <c r="AL7" s="139">
        <f>'III.Report năm'!S10</f>
        <v>44166</v>
      </c>
      <c r="AM7" s="141">
        <f>'III.Report năm'!G10</f>
        <v>43800</v>
      </c>
      <c r="AN7" s="141">
        <f>'III.Report năm'!H10</f>
        <v>43831</v>
      </c>
      <c r="AO7" s="141">
        <f>'III.Report năm'!I10</f>
        <v>43862</v>
      </c>
      <c r="AP7" s="141">
        <f>'III.Report năm'!J10</f>
        <v>43891</v>
      </c>
      <c r="AQ7" s="141">
        <f>'III.Report năm'!K10</f>
        <v>43922</v>
      </c>
      <c r="AR7" s="141">
        <f>'III.Report năm'!L10</f>
        <v>43952</v>
      </c>
      <c r="AS7" s="141">
        <f>'III.Report năm'!M10</f>
        <v>43983</v>
      </c>
      <c r="AT7" s="141">
        <f>'III.Report năm'!N10</f>
        <v>44013</v>
      </c>
      <c r="AU7" s="141">
        <f>'III.Report năm'!O10</f>
        <v>44044</v>
      </c>
      <c r="AV7" s="141">
        <f>'III.Report năm'!P10</f>
        <v>44075</v>
      </c>
      <c r="AW7" s="141">
        <f>'III.Report năm'!Q10</f>
        <v>44105</v>
      </c>
      <c r="AX7" s="141">
        <f>'III.Report năm'!R10</f>
        <v>44136</v>
      </c>
      <c r="AY7" s="141">
        <f>'III.Report năm'!S10</f>
        <v>44166</v>
      </c>
      <c r="AZ7" s="145">
        <f>'III.Report năm'!G10</f>
        <v>43800</v>
      </c>
      <c r="BA7" s="145">
        <f>'III.Report năm'!H10</f>
        <v>43831</v>
      </c>
      <c r="BB7" s="145">
        <f>'III.Report năm'!I10</f>
        <v>43862</v>
      </c>
      <c r="BC7" s="145">
        <f>'III.Report năm'!J10</f>
        <v>43891</v>
      </c>
      <c r="BD7" s="145">
        <f>'III.Report năm'!K10</f>
        <v>43922</v>
      </c>
      <c r="BE7" s="145">
        <f>'III.Report năm'!L10</f>
        <v>43952</v>
      </c>
      <c r="BF7" s="145">
        <f>'III.Report năm'!M10</f>
        <v>43983</v>
      </c>
      <c r="BG7" s="145">
        <f>'III.Report năm'!N10</f>
        <v>44013</v>
      </c>
      <c r="BH7" s="145">
        <f>'III.Report năm'!O10</f>
        <v>44044</v>
      </c>
      <c r="BI7" s="145">
        <f>'III.Report năm'!P10</f>
        <v>44075</v>
      </c>
      <c r="BJ7" s="145">
        <f>'III.Report năm'!Q10</f>
        <v>44105</v>
      </c>
      <c r="BK7" s="145">
        <f>'III.Report năm'!R10</f>
        <v>44136</v>
      </c>
      <c r="BL7" s="145">
        <f>'III.Report năm'!S10</f>
        <v>44166</v>
      </c>
      <c r="BN7" s="151" t="s">
        <v>6</v>
      </c>
      <c r="BO7" s="152" t="s">
        <v>269</v>
      </c>
      <c r="BP7" s="152" t="s">
        <v>270</v>
      </c>
      <c r="BQ7" s="152" t="s">
        <v>273</v>
      </c>
      <c r="BR7" s="152" t="s">
        <v>32</v>
      </c>
      <c r="BS7" s="152" t="s">
        <v>274</v>
      </c>
      <c r="BU7" s="151" t="s">
        <v>6</v>
      </c>
      <c r="BV7" s="152" t="s">
        <v>269</v>
      </c>
      <c r="BW7" s="152" t="s">
        <v>277</v>
      </c>
      <c r="BX7" s="152" t="s">
        <v>274</v>
      </c>
      <c r="BZ7" s="151" t="s">
        <v>6</v>
      </c>
      <c r="CA7" s="152" t="s">
        <v>269</v>
      </c>
      <c r="CB7" s="152" t="s">
        <v>279</v>
      </c>
      <c r="CC7" s="152" t="s">
        <v>274</v>
      </c>
    </row>
    <row r="8" spans="1:81" s="127" customFormat="1" ht="30" x14ac:dyDescent="0.25">
      <c r="A8" s="80">
        <f>ROW()-ROW($A$7)</f>
        <v>1</v>
      </c>
      <c r="B8" s="80" t="s">
        <v>246</v>
      </c>
      <c r="C8" s="80" t="s">
        <v>128</v>
      </c>
      <c r="D8" s="81" t="s">
        <v>1</v>
      </c>
      <c r="E8" s="82" t="s">
        <v>132</v>
      </c>
      <c r="F8" s="83" t="str">
        <f t="shared" ref="F8:F16" si="4">IF(OR(AND($E$3&lt;$F$3,$F$3&lt;K8),AND(L8&lt;$E$3,$E$3&lt;$F$3))=TRUE,"OFF","ON")</f>
        <v>OFF</v>
      </c>
      <c r="G8" s="83" t="str" cm="1">
        <f t="array" aca="1" ref="G8" ca="1">IF(ISERROR(INDEX(INDIRECT($Q$6),MATCH(1,(INDIRECT($C$6)=C8)*(INDIRECT($M$6)="Nghỉ việc"),0),1))=TRUE,"ON",
IF(INDEX(INDIRECT($Q$6),MATCH(1,(INDIRECT($C$6)=C8)*(INDIRECT($M$6)="Nghỉ việc"),0),1)&lt;=$E$3,"OFF","ON"))</f>
        <v>ON</v>
      </c>
      <c r="H8" s="83" t="str">
        <f t="shared" ref="H8:H16" ca="1" si="5">IF(COUNTIFS(INDIRECT($C$6),C8,INDIRECT($M$6),"Nghỉ việc")&lt;&gt;0,"OFF","ON")</f>
        <v>OFF</v>
      </c>
      <c r="I8" s="83">
        <f t="shared" ref="I8:I16" si="6">COUNTIFS($C:$C,C8,$E:$E,E8,$K:$K,"&lt;="&amp;K8)</f>
        <v>1</v>
      </c>
      <c r="J8" s="83">
        <f ca="1">IF(COUNTIFS(INDIRECT($C$6),C8,INDIRECT($E$6),E8,INDIRECT($F$6),"ON",INDIRECT($L$6),L8)&gt;1,1,0)</f>
        <v>0</v>
      </c>
      <c r="K8" s="124">
        <v>43800</v>
      </c>
      <c r="L8" s="124">
        <v>43881</v>
      </c>
      <c r="M8" s="82" t="s">
        <v>143</v>
      </c>
      <c r="N8" s="84">
        <v>6000000</v>
      </c>
      <c r="O8" s="82" t="s">
        <v>141</v>
      </c>
      <c r="P8" s="83" t="s">
        <v>245</v>
      </c>
      <c r="Q8" s="138" cm="1">
        <f t="array" aca="1" ref="Q8" ca="1">IFERROR(INDEX(INDIRECT($L$6)+1,MATCH(1,(INDIRECT($C$6)=C8)*(INDIRECT($M$6)="Nghỉ việc"),0),1),"")</f>
        <v>43957</v>
      </c>
      <c r="R8" s="140">
        <f t="shared" ref="R8:R15" si="7">IFERROR(IF(AND(DAY(K8)&gt;=1,DAY(K8)&lt;=15),
DATE(YEAR(K8),MONTH(K8),1),
DATE(YEAR(K8+15),MONTH(K8+15),1)),"")</f>
        <v>43800</v>
      </c>
      <c r="S8" s="140">
        <f t="shared" ref="S8:S15" si="8">IFERROR(IF(AND(DAY(L8)&gt;=1,DAY(L8)&lt;=15),
DATE(YEAR(L8-15),MONTH(L8-15),1),
DATE(YEAR(L8),MONTH(L8),1)),"")</f>
        <v>43862</v>
      </c>
      <c r="T8" s="138" cm="1">
        <f t="array" aca="1" ref="T8" ca="1">INDEX(INDIRECT($K$6),MATCH(1,(INDIRECT($C$6)=C8)*(INDIRECT($I$6)=1),0),1)</f>
        <v>43800</v>
      </c>
      <c r="U8" s="140">
        <f ca="1">IF(AND(DAY(T8)&gt;=1,DAY(T8)&lt;=15),
DATE(YEAR(T8),MONTH(T8),1),
DATE(YEAR(T8+15),MONTH(T8+15),1))</f>
        <v>43800</v>
      </c>
      <c r="V8" s="125">
        <f t="array" aca="1" ref="V8" ca="1">INDEX(INDIRECT($L$6),MATCH(1,(INDIRECT($C$6)=C8)*(INDIRECT($I$6)=_xlfn.MAXIFS(INDIRECT($I$6),INDIRECT($C$6),C8))*(INDIRECT($M$6)="Nghỉ việc"),0),1)</f>
        <v>43956</v>
      </c>
      <c r="W8" s="140">
        <f ca="1">IFERROR(IF(AND(DAY(V8)&gt;=1,DAY(V8)&lt;=15),
DATE(YEAR(V8-15),MONTH(V8-15),1),
DATE(YEAR(V8),MONTH(V8),1)),"")</f>
        <v>43922</v>
      </c>
      <c r="X8" s="140" t="str">
        <f>IF(M8="Thai sản không lương",
IF(AND(DAY(K8)&gt;=1,DAY(K8)&lt;=15),
DATE(YEAR(K8),MONTH(K8),1),
DATE(YEAR(K8+15),MONTH(K8+15),1)),
"")</f>
        <v/>
      </c>
      <c r="Y8" s="140" t="str">
        <f>IF(M8="Thai sản không lương",
IF(AND(DAY(L8)&gt;=1,DAY(L8)&lt;=15),
DATE(YEAR(L8-15),MONTH(L8-15),1),
DATE(YEAR(L8),MONTH(L8),1)),
"")</f>
        <v/>
      </c>
      <c r="Z8" s="136">
        <f t="shared" ref="Z8:AL16" si="9">IF($K8&gt;$L8,"Lỗi nhập ngày",
IF($K8=$L8,0,
IF(OR(
$L8&lt;Z$1,
AND($K8&lt;Z$1,$L8=Z$1),
AND($K8&lt;Z$1,$L8&gt;Z$1,$L8&lt;Z$3),
AND($K8=Z$1,$L8&gt;Z$1,$L8&lt;Z$3),
AND($K8&gt;Z$1,$L8&lt;Z$3),
AND($K8&gt;Z$1,$K8&lt;Z$3,$L8=Z$3),
AND($K8&gt;Z$1,$K8&lt;Z$3,$L8&gt;Z$3,$L8&lt;Z$2,($L8-$K8)&lt;15),
AND($K8=Z$3,$L8&gt;Z$3,$L8&lt;Z$2),
AND($K8&gt;Z$3,$L8&lt;Z$2),
AND($K8&gt;Z$3,$K8&lt;Z$2,$L8=Z$2),
AND($K8&gt;Z$3,$K8&lt;Z$2,$L8&gt;Z$2),
AND($K8=Z$2,$L8&gt;Z$2),
$K8&gt;Z$2,
AND($K8&gt;Z$3,$K8&lt;Z$2,$L8="31/12/2100"),
AND($K8=Z$2,$L8="31/12/2100"),
AND($K8&gt;Z$2,$L8="31/12/2100")),0,
IF(OR(
AND($K8&lt;Z$1,$L8=Z$3),
AND($K8&lt;Z$1,$L8&gt;Z$3,$L8&lt;Z$2),
AND($K8&lt;Z$1,$L8=Z$2),
AND($K8&lt;Z$1,$L8&gt;Z$2),
AND($K8=Z$1,$L8=Z$3),
AND($K8=Z$1,$L8&gt;Z$3,$L8&lt;Z$2),
AND($K8=Z$1,$L8=Z$2),
AND($K8=Z$1,$L8&gt;Z$2),
AND($K8&gt;Z$1,$K8&lt;Z$3,$L8&gt;Z$3,$L8&lt;Z$2,($L8-$K8)&gt;=15),
AND($K8&gt;Z$1,$K8&lt;Z$3,$L8=Z$2),
AND($K8&gt;Z$1,$K8&lt;Z$3,$L8&gt;Z$2),
AND($K8=Z$3,$L8=Z$2),
AND($K8=Z$3,$L8&gt;Z$2),
AND($K8&lt;Z$1,$L8="31/12/2100"),
AND($K8=Z$1,$L8="31/12/2100"),
AND($K8&gt;Z$1,$K8&lt;Z$3,$L8="31/12/2100"),
AND($K8=Z$3,$L8="31/12/2100")),
1,"Lỗi"))))*$N8</f>
        <v>6000000</v>
      </c>
      <c r="AA8" s="136">
        <f t="shared" si="9"/>
        <v>6000000</v>
      </c>
      <c r="AB8" s="136">
        <f t="shared" si="9"/>
        <v>6000000</v>
      </c>
      <c r="AC8" s="136">
        <f t="shared" si="9"/>
        <v>0</v>
      </c>
      <c r="AD8" s="136">
        <f t="shared" si="9"/>
        <v>0</v>
      </c>
      <c r="AE8" s="136">
        <f t="shared" si="9"/>
        <v>0</v>
      </c>
      <c r="AF8" s="136">
        <f t="shared" si="9"/>
        <v>0</v>
      </c>
      <c r="AG8" s="136">
        <f t="shared" si="9"/>
        <v>0</v>
      </c>
      <c r="AH8" s="136">
        <f t="shared" si="9"/>
        <v>0</v>
      </c>
      <c r="AI8" s="136">
        <f t="shared" si="9"/>
        <v>0</v>
      </c>
      <c r="AJ8" s="136">
        <f t="shared" si="9"/>
        <v>0</v>
      </c>
      <c r="AK8" s="136">
        <f t="shared" si="9"/>
        <v>0</v>
      </c>
      <c r="AL8" s="136">
        <f t="shared" si="9"/>
        <v>0</v>
      </c>
      <c r="AM8" s="143" t="str">
        <f t="shared" ref="AM8:AY8" si="10">IF($M8="Thai sản không lương",
IF(AND(AM$7&gt;=$X8,AM$7&lt;=$Y8),"Thai sản không lương",""),
IF(AM$7=$R8,"Tháng bắt đầu QT",
IF(AM$7=$S8,"Tháng cuối cùng QT",
IF(AND(AM$7&gt;$R8,AM$7&lt;$S8),"Tháng đóng",""))))</f>
        <v>Tháng bắt đầu QT</v>
      </c>
      <c r="AN8" s="143" t="str">
        <f t="shared" si="10"/>
        <v>Tháng đóng</v>
      </c>
      <c r="AO8" s="143" t="str">
        <f t="shared" si="10"/>
        <v>Tháng cuối cùng QT</v>
      </c>
      <c r="AP8" s="143" t="str">
        <f t="shared" si="10"/>
        <v/>
      </c>
      <c r="AQ8" s="143" t="str">
        <f t="shared" si="10"/>
        <v/>
      </c>
      <c r="AR8" s="143" t="str">
        <f t="shared" si="10"/>
        <v/>
      </c>
      <c r="AS8" s="143" t="str">
        <f t="shared" si="10"/>
        <v/>
      </c>
      <c r="AT8" s="143" t="str">
        <f t="shared" si="10"/>
        <v/>
      </c>
      <c r="AU8" s="143" t="str">
        <f t="shared" si="10"/>
        <v/>
      </c>
      <c r="AV8" s="143" t="str">
        <f t="shared" si="10"/>
        <v/>
      </c>
      <c r="AW8" s="143" t="str">
        <f t="shared" si="10"/>
        <v/>
      </c>
      <c r="AX8" s="143" t="str">
        <f t="shared" si="10"/>
        <v/>
      </c>
      <c r="AY8" s="143" t="str">
        <f t="shared" si="10"/>
        <v/>
      </c>
      <c r="AZ8" s="143">
        <f>IFERROR(HLOOKUP(AM8,$AN$1:$AQ$2,2,0),"")</f>
        <v>2</v>
      </c>
      <c r="BA8" s="143">
        <f t="shared" ref="BA8:BL8" si="11">IFERROR(HLOOKUP(AN8,$AN$1:$AQ$2,2,0),"")</f>
        <v>2</v>
      </c>
      <c r="BB8" s="143">
        <f t="shared" si="11"/>
        <v>2</v>
      </c>
      <c r="BC8" s="143" t="str">
        <f t="shared" si="11"/>
        <v/>
      </c>
      <c r="BD8" s="143" t="str">
        <f t="shared" si="11"/>
        <v/>
      </c>
      <c r="BE8" s="143" t="str">
        <f t="shared" si="11"/>
        <v/>
      </c>
      <c r="BF8" s="143" t="str">
        <f t="shared" si="11"/>
        <v/>
      </c>
      <c r="BG8" s="143" t="str">
        <f t="shared" si="11"/>
        <v/>
      </c>
      <c r="BH8" s="143" t="str">
        <f t="shared" si="11"/>
        <v/>
      </c>
      <c r="BI8" s="143" t="str">
        <f t="shared" si="11"/>
        <v/>
      </c>
      <c r="BJ8" s="143" t="str">
        <f t="shared" si="11"/>
        <v/>
      </c>
      <c r="BK8" s="143" t="str">
        <f t="shared" si="11"/>
        <v/>
      </c>
      <c r="BL8" s="143" t="str">
        <f t="shared" si="11"/>
        <v/>
      </c>
      <c r="BN8" s="142">
        <f>ROW()-ROW($BN$7)</f>
        <v>1</v>
      </c>
      <c r="BO8" s="154">
        <v>43800</v>
      </c>
      <c r="BP8" s="155">
        <v>2240000</v>
      </c>
      <c r="BQ8" s="155">
        <v>2240000</v>
      </c>
      <c r="BR8" s="155">
        <f>BP8-BQ8</f>
        <v>0</v>
      </c>
      <c r="BS8" s="155"/>
      <c r="BU8" s="142">
        <f t="shared" ref="BU8:BU18" si="12">ROW()-ROW($BZ$7)</f>
        <v>1</v>
      </c>
      <c r="BV8" s="154">
        <v>43831</v>
      </c>
      <c r="BW8" s="155">
        <v>202500</v>
      </c>
      <c r="BX8" s="153" t="s">
        <v>306</v>
      </c>
      <c r="BZ8" s="142">
        <f t="shared" ref="BZ8:BZ20" si="13">ROW()-ROW($BZ$7)</f>
        <v>1</v>
      </c>
      <c r="CA8" s="154">
        <f>'III.Report năm'!G10</f>
        <v>43800</v>
      </c>
      <c r="CB8" s="155">
        <f t="shared" ref="CB8:CB18" si="14">-SUMIFS($BR:$BR,$BO:$BO,DATE(YEAR(CA8),MONTH(CA8)-1,1))</f>
        <v>0</v>
      </c>
      <c r="CC8" s="153" t="str">
        <f t="shared" ref="CC8:CC18" si="15">IFERROR(INDEX($BS:$BS,MATCH(DATE(YEAR(CA8),MONTH(CA8)-1,1),$BO:$BO,0),1),"")</f>
        <v/>
      </c>
    </row>
    <row r="9" spans="1:81" s="127" customFormat="1" ht="30" x14ac:dyDescent="0.25">
      <c r="A9" s="80">
        <f>ROW()-ROW($A$7)</f>
        <v>2</v>
      </c>
      <c r="B9" s="80" t="s">
        <v>246</v>
      </c>
      <c r="C9" s="80" t="s">
        <v>128</v>
      </c>
      <c r="D9" s="81" t="s">
        <v>1</v>
      </c>
      <c r="E9" s="82" t="s">
        <v>132</v>
      </c>
      <c r="F9" s="83" t="str">
        <f t="shared" si="4"/>
        <v>ON</v>
      </c>
      <c r="G9" s="83" t="str" cm="1">
        <f t="array" aca="1" ref="G9" ca="1">IF(ISERROR(INDEX(INDIRECT($Q$6),MATCH(1,(INDIRECT($C$6)=C9)*(INDIRECT($M$6)="Nghỉ việc"),0),1))=TRUE,"ON",
IF(INDEX(INDIRECT($Q$6),MATCH(1,(INDIRECT($C$6)=C9)*(INDIRECT($M$6)="Nghỉ việc"),0),1)&lt;=$E$3,"OFF","ON"))</f>
        <v>ON</v>
      </c>
      <c r="H9" s="83" t="str">
        <f t="shared" ca="1" si="5"/>
        <v>OFF</v>
      </c>
      <c r="I9" s="83">
        <f t="shared" si="6"/>
        <v>2</v>
      </c>
      <c r="J9" s="83">
        <f t="shared" ref="J9:J15" ca="1" si="16">IF(COUNTIFS(INDIRECT($C$6),C9,INDIRECT($E$6),E9,INDIRECT($F$6),"ON",INDIRECT($L$6),L9)&gt;1,1,0)</f>
        <v>0</v>
      </c>
      <c r="K9" s="124">
        <v>43882</v>
      </c>
      <c r="L9" s="124">
        <v>43956</v>
      </c>
      <c r="M9" s="82" t="s">
        <v>142</v>
      </c>
      <c r="N9" s="84">
        <v>8000000</v>
      </c>
      <c r="O9" s="82" t="s">
        <v>141</v>
      </c>
      <c r="P9" s="83" t="s">
        <v>245</v>
      </c>
      <c r="Q9" s="138" cm="1">
        <f t="array" aca="1" ref="Q9" ca="1">IFERROR(INDEX(INDIRECT($L$6)+1,MATCH(1,(INDIRECT($C$6)=C9)*(INDIRECT($M$6)="Nghỉ việc"),0),1),"")</f>
        <v>43957</v>
      </c>
      <c r="R9" s="140">
        <f t="shared" si="7"/>
        <v>43891</v>
      </c>
      <c r="S9" s="140">
        <f t="shared" si="8"/>
        <v>43922</v>
      </c>
      <c r="T9" s="138">
        <f t="array" aca="1" ref="T9" ca="1">INDEX(INDIRECT($K$6),MATCH(1,(INDIRECT($C$6)=C9)*(INDIRECT($I$6)=1),0),1)</f>
        <v>43800</v>
      </c>
      <c r="U9" s="140">
        <f t="shared" ref="U9:U15" ca="1" si="17">IF(AND(DAY(T9)&gt;=1,DAY(T9)&lt;=15),
DATE(YEAR(T9),MONTH(T9),1),
DATE(YEAR(T9+15),MONTH(T9+15),1))</f>
        <v>43800</v>
      </c>
      <c r="V9" s="125">
        <f t="array" aca="1" ref="V9" ca="1">INDEX(INDIRECT($L$6),MATCH(1,(INDIRECT($C$6)=C9)*(INDIRECT($I$6)=_xlfn.MAXIFS(INDIRECT($I$6),INDIRECT($C$6),C9))*(INDIRECT($M$6)="Nghỉ việc"),0),1)</f>
        <v>43956</v>
      </c>
      <c r="W9" s="140">
        <f t="shared" ref="W9:W15" ca="1" si="18">IFERROR(IF(AND(DAY(V9)&gt;=1,DAY(V9)&lt;=15),
DATE(YEAR(V9-15),MONTH(V9-15),1),
DATE(YEAR(V9),MONTH(V9),1)),"")</f>
        <v>43922</v>
      </c>
      <c r="X9" s="140" t="str">
        <f t="shared" ref="X9:X20" si="19">IF(M9="Thai sản không lương",
IF(AND(DAY(K9)&gt;=1,DAY(K9)&lt;=15),
DATE(YEAR(K9),MONTH(K9),1),
DATE(YEAR(K9+15),MONTH(K9+15),1)),
"")</f>
        <v/>
      </c>
      <c r="Y9" s="140" t="str">
        <f t="shared" ref="Y9:Y20" si="20">IF(M9="Thai sản không lương",
IF(AND(DAY(L9)&gt;=1,DAY(L9)&lt;=15),
DATE(YEAR(L9-15),MONTH(L9-15),1),
DATE(YEAR(L9),MONTH(L9),1)),
"")</f>
        <v/>
      </c>
      <c r="Z9" s="136">
        <f t="shared" si="9"/>
        <v>0</v>
      </c>
      <c r="AA9" s="136">
        <f t="shared" si="9"/>
        <v>0</v>
      </c>
      <c r="AB9" s="136">
        <f t="shared" si="9"/>
        <v>0</v>
      </c>
      <c r="AC9" s="136">
        <f t="shared" si="9"/>
        <v>8000000</v>
      </c>
      <c r="AD9" s="136">
        <f t="shared" si="9"/>
        <v>8000000</v>
      </c>
      <c r="AE9" s="136">
        <f t="shared" si="9"/>
        <v>0</v>
      </c>
      <c r="AF9" s="136">
        <f t="shared" si="9"/>
        <v>0</v>
      </c>
      <c r="AG9" s="136">
        <f t="shared" si="9"/>
        <v>0</v>
      </c>
      <c r="AH9" s="136">
        <f t="shared" si="9"/>
        <v>0</v>
      </c>
      <c r="AI9" s="136">
        <f t="shared" si="9"/>
        <v>0</v>
      </c>
      <c r="AJ9" s="136">
        <f t="shared" si="9"/>
        <v>0</v>
      </c>
      <c r="AK9" s="136">
        <f t="shared" si="9"/>
        <v>0</v>
      </c>
      <c r="AL9" s="136">
        <f t="shared" si="9"/>
        <v>0</v>
      </c>
      <c r="AM9" s="143" t="str">
        <f t="shared" ref="AM9:AM21" si="21">IF($M9="Thai sản không lương",
IF(AND(AM$7&gt;=$X9,AM$7&lt;=$Y9),"Thai sản không lương",""),
IF(AM$7=$R9,"Tháng bắt đầu QT",
IF(AM$7=$S9,"Tháng cuối cùng QT",
IF(AND(AM$7&gt;$R9,AM$7&lt;$S9),"Tháng đóng",""))))</f>
        <v/>
      </c>
      <c r="AN9" s="143" t="str">
        <f t="shared" ref="AN9:AY21" si="22">IF($M9="Thai sản không lương",
IF(AND(AN$7&gt;=$X9,AN$7&lt;=$Y9),"Thai sản không lương",""),
IF(AN$7=$R9,"Tháng bắt đầu QT",
IF(AN$7=$S9,"Tháng cuối cùng QT",
IF(AND(AN$7&gt;$R9,AN$7&lt;$S9),"Tháng đóng",""))))</f>
        <v/>
      </c>
      <c r="AO9" s="143" t="str">
        <f t="shared" si="22"/>
        <v/>
      </c>
      <c r="AP9" s="143" t="str">
        <f t="shared" si="22"/>
        <v>Tháng bắt đầu QT</v>
      </c>
      <c r="AQ9" s="143" t="str">
        <f t="shared" si="22"/>
        <v>Tháng cuối cùng QT</v>
      </c>
      <c r="AR9" s="143" t="str">
        <f t="shared" si="22"/>
        <v/>
      </c>
      <c r="AS9" s="143" t="str">
        <f t="shared" si="22"/>
        <v/>
      </c>
      <c r="AT9" s="143" t="str">
        <f t="shared" si="22"/>
        <v/>
      </c>
      <c r="AU9" s="143" t="str">
        <f t="shared" si="22"/>
        <v/>
      </c>
      <c r="AV9" s="143" t="str">
        <f t="shared" si="22"/>
        <v/>
      </c>
      <c r="AW9" s="143" t="str">
        <f t="shared" si="22"/>
        <v/>
      </c>
      <c r="AX9" s="143" t="str">
        <f t="shared" si="22"/>
        <v/>
      </c>
      <c r="AY9" s="143" t="str">
        <f t="shared" si="22"/>
        <v/>
      </c>
      <c r="AZ9" s="143" t="str">
        <f t="shared" ref="AZ9:AZ13" si="23">IFERROR(HLOOKUP(AM9,$AN$1:$AQ$2,2,0),"")</f>
        <v/>
      </c>
      <c r="BA9" s="143" t="str">
        <f t="shared" ref="BA9:BA13" si="24">IFERROR(HLOOKUP(AN9,$AN$1:$AQ$2,2,0),"")</f>
        <v/>
      </c>
      <c r="BB9" s="143" t="str">
        <f t="shared" ref="BB9:BB13" si="25">IFERROR(HLOOKUP(AO9,$AN$1:$AQ$2,2,0),"")</f>
        <v/>
      </c>
      <c r="BC9" s="143">
        <f t="shared" ref="BC9:BC13" si="26">IFERROR(HLOOKUP(AP9,$AN$1:$AQ$2,2,0),"")</f>
        <v>2</v>
      </c>
      <c r="BD9" s="143">
        <f t="shared" ref="BD9:BD13" si="27">IFERROR(HLOOKUP(AQ9,$AN$1:$AQ$2,2,0),"")</f>
        <v>2</v>
      </c>
      <c r="BE9" s="143" t="str">
        <f t="shared" ref="BE9:BE13" si="28">IFERROR(HLOOKUP(AR9,$AN$1:$AQ$2,2,0),"")</f>
        <v/>
      </c>
      <c r="BF9" s="143" t="str">
        <f t="shared" ref="BF9:BF13" si="29">IFERROR(HLOOKUP(AS9,$AN$1:$AQ$2,2,0),"")</f>
        <v/>
      </c>
      <c r="BG9" s="143" t="str">
        <f t="shared" ref="BG9:BG13" si="30">IFERROR(HLOOKUP(AT9,$AN$1:$AQ$2,2,0),"")</f>
        <v/>
      </c>
      <c r="BH9" s="143" t="str">
        <f t="shared" ref="BH9:BH13" si="31">IFERROR(HLOOKUP(AU9,$AN$1:$AQ$2,2,0),"")</f>
        <v/>
      </c>
      <c r="BI9" s="143" t="str">
        <f t="shared" ref="BI9:BI13" si="32">IFERROR(HLOOKUP(AV9,$AN$1:$AQ$2,2,0),"")</f>
        <v/>
      </c>
      <c r="BJ9" s="143" t="str">
        <f t="shared" ref="BJ9:BJ13" si="33">IFERROR(HLOOKUP(AW9,$AN$1:$AQ$2,2,0),"")</f>
        <v/>
      </c>
      <c r="BK9" s="143" t="str">
        <f t="shared" ref="BK9:BK13" si="34">IFERROR(HLOOKUP(AX9,$AN$1:$AQ$2,2,0),"")</f>
        <v/>
      </c>
      <c r="BL9" s="143" t="str">
        <f t="shared" ref="BL9:BL13" si="35">IFERROR(HLOOKUP(AY9,$AN$1:$AQ$2,2,0),"")</f>
        <v/>
      </c>
      <c r="BN9" s="142">
        <f t="shared" ref="BN9:BN26" si="36">ROW()-ROW($BN$7)</f>
        <v>2</v>
      </c>
      <c r="BO9" s="154">
        <v>43831</v>
      </c>
      <c r="BP9" s="155">
        <v>8842500</v>
      </c>
      <c r="BQ9" s="155">
        <v>10000000</v>
      </c>
      <c r="BR9" s="155">
        <f t="shared" ref="BR9:BR20" si="37">BP9-BQ9</f>
        <v>-1157500</v>
      </c>
      <c r="BS9" s="155" t="s">
        <v>275</v>
      </c>
      <c r="BU9" s="142">
        <f t="shared" si="12"/>
        <v>2</v>
      </c>
      <c r="BV9" s="154"/>
      <c r="BW9" s="155"/>
      <c r="BX9" s="153"/>
      <c r="BZ9" s="142">
        <f t="shared" si="13"/>
        <v>2</v>
      </c>
      <c r="CA9" s="154">
        <f>'III.Report năm'!H10</f>
        <v>43831</v>
      </c>
      <c r="CB9" s="155">
        <f t="shared" si="14"/>
        <v>0</v>
      </c>
      <c r="CC9" s="153">
        <f t="shared" si="15"/>
        <v>0</v>
      </c>
    </row>
    <row r="10" spans="1:81" s="127" customFormat="1" ht="30" x14ac:dyDescent="0.25">
      <c r="A10" s="80">
        <f t="shared" ref="A10:A16" si="38">ROW()-ROW($A$7)</f>
        <v>3</v>
      </c>
      <c r="B10" s="80" t="s">
        <v>247</v>
      </c>
      <c r="C10" s="80" t="s">
        <v>135</v>
      </c>
      <c r="D10" s="81" t="s">
        <v>137</v>
      </c>
      <c r="E10" s="82" t="s">
        <v>132</v>
      </c>
      <c r="F10" s="83" t="str">
        <f t="shared" si="4"/>
        <v>ON</v>
      </c>
      <c r="G10" s="83" t="str" cm="1">
        <f t="array" aca="1" ref="G10" ca="1">IF(ISERROR(INDEX(INDIRECT($Q$6),MATCH(1,(INDIRECT($C$6)=C10)*(INDIRECT($M$6)="Nghỉ việc"),0),1))=TRUE,"ON",
IF(INDEX(INDIRECT($Q$6),MATCH(1,(INDIRECT($C$6)=C10)*(INDIRECT($M$6)="Nghỉ việc"),0),1)&lt;=$E$3,"OFF","ON"))</f>
        <v>ON</v>
      </c>
      <c r="H10" s="83" t="str">
        <f t="shared" ca="1" si="5"/>
        <v>ON</v>
      </c>
      <c r="I10" s="83">
        <f t="shared" si="6"/>
        <v>1</v>
      </c>
      <c r="J10" s="83">
        <f t="shared" ca="1" si="16"/>
        <v>0</v>
      </c>
      <c r="K10" s="124">
        <v>43831</v>
      </c>
      <c r="L10" s="124">
        <v>43996</v>
      </c>
      <c r="M10" s="82"/>
      <c r="N10" s="84">
        <v>7000000</v>
      </c>
      <c r="O10" s="82" t="s">
        <v>141</v>
      </c>
      <c r="P10" s="83" t="s">
        <v>245</v>
      </c>
      <c r="Q10" s="138" t="str" cm="1">
        <f t="array" aca="1" ref="Q10" ca="1">IFERROR(INDEX(INDIRECT($L$6)+1,MATCH(1,(INDIRECT($C$6)=C10)*(INDIRECT($M$6)="Nghỉ việc"),0),1),"")</f>
        <v/>
      </c>
      <c r="R10" s="140">
        <f t="shared" si="7"/>
        <v>43831</v>
      </c>
      <c r="S10" s="140">
        <f t="shared" si="8"/>
        <v>43952</v>
      </c>
      <c r="T10" s="138">
        <f t="array" aca="1" ref="T10" ca="1">INDEX(INDIRECT($K$6),MATCH(1,(INDIRECT($C$6)=C10)*(INDIRECT($I$6)=1),0),1)</f>
        <v>43831</v>
      </c>
      <c r="U10" s="140">
        <f t="shared" ca="1" si="17"/>
        <v>43831</v>
      </c>
      <c r="V10" s="125" t="e">
        <f t="array" aca="1" ref="V10" ca="1">INDEX(INDIRECT($L$6),MATCH(1,(INDIRECT($C$6)=C10)*(INDIRECT($I$6)=_xlfn.MAXIFS(INDIRECT($I$6),INDIRECT($C$6),C10))*(INDIRECT($M$6)="Nghỉ việc"),0),1)</f>
        <v>#N/A</v>
      </c>
      <c r="W10" s="140" t="str">
        <f t="shared" ca="1" si="18"/>
        <v/>
      </c>
      <c r="X10" s="140" t="str">
        <f t="shared" si="19"/>
        <v/>
      </c>
      <c r="Y10" s="140" t="str">
        <f t="shared" si="20"/>
        <v/>
      </c>
      <c r="Z10" s="136">
        <f t="shared" si="9"/>
        <v>0</v>
      </c>
      <c r="AA10" s="136">
        <f t="shared" si="9"/>
        <v>7000000</v>
      </c>
      <c r="AB10" s="136">
        <f t="shared" si="9"/>
        <v>7000000</v>
      </c>
      <c r="AC10" s="136">
        <f t="shared" si="9"/>
        <v>7000000</v>
      </c>
      <c r="AD10" s="136">
        <f t="shared" si="9"/>
        <v>7000000</v>
      </c>
      <c r="AE10" s="136">
        <f t="shared" si="9"/>
        <v>7000000</v>
      </c>
      <c r="AF10" s="136">
        <f t="shared" si="9"/>
        <v>0</v>
      </c>
      <c r="AG10" s="136">
        <f t="shared" si="9"/>
        <v>0</v>
      </c>
      <c r="AH10" s="136">
        <f t="shared" si="9"/>
        <v>0</v>
      </c>
      <c r="AI10" s="136">
        <f t="shared" si="9"/>
        <v>0</v>
      </c>
      <c r="AJ10" s="136">
        <f t="shared" si="9"/>
        <v>0</v>
      </c>
      <c r="AK10" s="136">
        <f t="shared" si="9"/>
        <v>0</v>
      </c>
      <c r="AL10" s="136">
        <f t="shared" si="9"/>
        <v>0</v>
      </c>
      <c r="AM10" s="143" t="str">
        <f t="shared" si="21"/>
        <v/>
      </c>
      <c r="AN10" s="143" t="str">
        <f t="shared" si="22"/>
        <v>Tháng bắt đầu QT</v>
      </c>
      <c r="AO10" s="143" t="str">
        <f t="shared" si="22"/>
        <v>Tháng đóng</v>
      </c>
      <c r="AP10" s="143" t="str">
        <f t="shared" si="22"/>
        <v>Tháng đóng</v>
      </c>
      <c r="AQ10" s="143" t="str">
        <f t="shared" si="22"/>
        <v>Tháng đóng</v>
      </c>
      <c r="AR10" s="143" t="str">
        <f t="shared" si="22"/>
        <v>Tháng cuối cùng QT</v>
      </c>
      <c r="AS10" s="143" t="str">
        <f t="shared" si="22"/>
        <v/>
      </c>
      <c r="AT10" s="143" t="str">
        <f t="shared" si="22"/>
        <v/>
      </c>
      <c r="AU10" s="143" t="str">
        <f t="shared" si="22"/>
        <v/>
      </c>
      <c r="AV10" s="143" t="str">
        <f t="shared" si="22"/>
        <v/>
      </c>
      <c r="AW10" s="143" t="str">
        <f t="shared" si="22"/>
        <v/>
      </c>
      <c r="AX10" s="143" t="str">
        <f t="shared" si="22"/>
        <v/>
      </c>
      <c r="AY10" s="143" t="str">
        <f t="shared" si="22"/>
        <v/>
      </c>
      <c r="AZ10" s="143" t="str">
        <f t="shared" si="23"/>
        <v/>
      </c>
      <c r="BA10" s="143">
        <f t="shared" si="24"/>
        <v>2</v>
      </c>
      <c r="BB10" s="143">
        <f t="shared" si="25"/>
        <v>2</v>
      </c>
      <c r="BC10" s="143">
        <f t="shared" si="26"/>
        <v>2</v>
      </c>
      <c r="BD10" s="143">
        <f t="shared" si="27"/>
        <v>2</v>
      </c>
      <c r="BE10" s="143">
        <f t="shared" si="28"/>
        <v>2</v>
      </c>
      <c r="BF10" s="143" t="str">
        <f t="shared" si="29"/>
        <v/>
      </c>
      <c r="BG10" s="143" t="str">
        <f t="shared" si="30"/>
        <v/>
      </c>
      <c r="BH10" s="143" t="str">
        <f t="shared" si="31"/>
        <v/>
      </c>
      <c r="BI10" s="143" t="str">
        <f t="shared" si="32"/>
        <v/>
      </c>
      <c r="BJ10" s="143" t="str">
        <f t="shared" si="33"/>
        <v/>
      </c>
      <c r="BK10" s="143" t="str">
        <f t="shared" si="34"/>
        <v/>
      </c>
      <c r="BL10" s="143" t="str">
        <f t="shared" si="35"/>
        <v/>
      </c>
      <c r="BN10" s="142">
        <f t="shared" si="36"/>
        <v>3</v>
      </c>
      <c r="BO10" s="154">
        <v>43862</v>
      </c>
      <c r="BP10" s="155"/>
      <c r="BQ10" s="155"/>
      <c r="BR10" s="155">
        <f t="shared" si="37"/>
        <v>0</v>
      </c>
      <c r="BS10" s="155"/>
      <c r="BU10" s="142">
        <f t="shared" si="12"/>
        <v>3</v>
      </c>
      <c r="BV10" s="154"/>
      <c r="BW10" s="155"/>
      <c r="BX10" s="153"/>
      <c r="BZ10" s="142">
        <f t="shared" si="13"/>
        <v>3</v>
      </c>
      <c r="CA10" s="154">
        <f>'III.Report năm'!I10</f>
        <v>43862</v>
      </c>
      <c r="CB10" s="155">
        <f t="shared" si="14"/>
        <v>1157500</v>
      </c>
      <c r="CC10" s="153" t="str">
        <f t="shared" si="15"/>
        <v>Đóng thừa nhân viên XYZ</v>
      </c>
    </row>
    <row r="11" spans="1:81" s="127" customFormat="1" ht="30" x14ac:dyDescent="0.25">
      <c r="A11" s="80">
        <f t="shared" si="38"/>
        <v>4</v>
      </c>
      <c r="B11" s="80" t="s">
        <v>247</v>
      </c>
      <c r="C11" s="80" t="s">
        <v>135</v>
      </c>
      <c r="D11" s="81" t="s">
        <v>137</v>
      </c>
      <c r="E11" s="82" t="s">
        <v>132</v>
      </c>
      <c r="F11" s="83" t="str">
        <f t="shared" si="4"/>
        <v>OFF</v>
      </c>
      <c r="G11" s="83" t="str" cm="1">
        <f t="array" aca="1" ref="G11" ca="1">IF(ISERROR(INDEX(INDIRECT($Q$6),MATCH(1,(INDIRECT($C$6)=C11)*(INDIRECT($M$6)="Nghỉ việc"),0),1))=TRUE,"ON",
IF(INDEX(INDIRECT($Q$6),MATCH(1,(INDIRECT($C$6)=C11)*(INDIRECT($M$6)="Nghỉ việc"),0),1)&lt;=$E$3,"OFF","ON"))</f>
        <v>ON</v>
      </c>
      <c r="H11" s="83" t="str">
        <f t="shared" ca="1" si="5"/>
        <v>ON</v>
      </c>
      <c r="I11" s="83">
        <f t="shared" si="6"/>
        <v>2</v>
      </c>
      <c r="J11" s="83">
        <f t="shared" ca="1" si="16"/>
        <v>0</v>
      </c>
      <c r="K11" s="124">
        <v>43997</v>
      </c>
      <c r="L11" s="124">
        <v>44179</v>
      </c>
      <c r="M11" s="82" t="s">
        <v>281</v>
      </c>
      <c r="N11" s="84">
        <v>0</v>
      </c>
      <c r="O11" s="82" t="s">
        <v>141</v>
      </c>
      <c r="P11" s="83" t="s">
        <v>245</v>
      </c>
      <c r="Q11" s="138" t="str" cm="1">
        <f t="array" aca="1" ref="Q11" ca="1">IFERROR(INDEX(INDIRECT($L$6)+1,MATCH(1,(INDIRECT($C$6)=C11)*(INDIRECT($M$6)="Nghỉ việc"),0),1),"")</f>
        <v/>
      </c>
      <c r="R11" s="140">
        <f t="shared" si="7"/>
        <v>43983</v>
      </c>
      <c r="S11" s="140">
        <f t="shared" si="8"/>
        <v>44136</v>
      </c>
      <c r="T11" s="138">
        <f t="array" aca="1" ref="T11" ca="1">INDEX(INDIRECT($K$6),MATCH(1,(INDIRECT($C$6)=C11)*(INDIRECT($I$6)=1),0),1)</f>
        <v>43831</v>
      </c>
      <c r="U11" s="140">
        <f t="shared" ca="1" si="17"/>
        <v>43831</v>
      </c>
      <c r="V11" s="125" t="e">
        <f t="array" aca="1" ref="V11" ca="1">INDEX(INDIRECT($L$6),MATCH(1,(INDIRECT($C$6)=C11)*(INDIRECT($I$6)=_xlfn.MAXIFS(INDIRECT($I$6),INDIRECT($C$6),C11))*(INDIRECT($M$6)="Nghỉ việc"),0),1)</f>
        <v>#N/A</v>
      </c>
      <c r="W11" s="140" t="str">
        <f t="shared" ca="1" si="18"/>
        <v/>
      </c>
      <c r="X11" s="140">
        <f t="shared" si="19"/>
        <v>43983</v>
      </c>
      <c r="Y11" s="140">
        <f t="shared" si="20"/>
        <v>44136</v>
      </c>
      <c r="Z11" s="136">
        <f t="shared" si="9"/>
        <v>0</v>
      </c>
      <c r="AA11" s="136">
        <f t="shared" si="9"/>
        <v>0</v>
      </c>
      <c r="AB11" s="136">
        <f t="shared" si="9"/>
        <v>0</v>
      </c>
      <c r="AC11" s="136">
        <f t="shared" si="9"/>
        <v>0</v>
      </c>
      <c r="AD11" s="136">
        <f t="shared" si="9"/>
        <v>0</v>
      </c>
      <c r="AE11" s="136">
        <f t="shared" si="9"/>
        <v>0</v>
      </c>
      <c r="AF11" s="136">
        <f t="shared" si="9"/>
        <v>0</v>
      </c>
      <c r="AG11" s="136">
        <f t="shared" si="9"/>
        <v>0</v>
      </c>
      <c r="AH11" s="136">
        <f t="shared" si="9"/>
        <v>0</v>
      </c>
      <c r="AI11" s="136">
        <f t="shared" si="9"/>
        <v>0</v>
      </c>
      <c r="AJ11" s="136">
        <f t="shared" si="9"/>
        <v>0</v>
      </c>
      <c r="AK11" s="136">
        <f t="shared" si="9"/>
        <v>0</v>
      </c>
      <c r="AL11" s="136">
        <f t="shared" si="9"/>
        <v>0</v>
      </c>
      <c r="AM11" s="143" t="str">
        <f t="shared" si="21"/>
        <v/>
      </c>
      <c r="AN11" s="143" t="str">
        <f t="shared" si="22"/>
        <v/>
      </c>
      <c r="AO11" s="143" t="str">
        <f t="shared" si="22"/>
        <v/>
      </c>
      <c r="AP11" s="143" t="str">
        <f t="shared" si="22"/>
        <v/>
      </c>
      <c r="AQ11" s="143" t="str">
        <f t="shared" si="22"/>
        <v/>
      </c>
      <c r="AR11" s="143" t="str">
        <f t="shared" si="22"/>
        <v/>
      </c>
      <c r="AS11" s="143" t="str">
        <f t="shared" si="22"/>
        <v>Thai sản không lương</v>
      </c>
      <c r="AT11" s="143" t="str">
        <f t="shared" si="22"/>
        <v>Thai sản không lương</v>
      </c>
      <c r="AU11" s="143" t="str">
        <f t="shared" si="22"/>
        <v>Thai sản không lương</v>
      </c>
      <c r="AV11" s="143" t="str">
        <f t="shared" si="22"/>
        <v>Thai sản không lương</v>
      </c>
      <c r="AW11" s="143" t="str">
        <f t="shared" si="22"/>
        <v>Thai sản không lương</v>
      </c>
      <c r="AX11" s="143" t="str">
        <f t="shared" si="22"/>
        <v>Thai sản không lương</v>
      </c>
      <c r="AY11" s="143" t="str">
        <f t="shared" si="22"/>
        <v/>
      </c>
      <c r="AZ11" s="143" t="str">
        <f t="shared" si="23"/>
        <v/>
      </c>
      <c r="BA11" s="143" t="str">
        <f t="shared" si="24"/>
        <v/>
      </c>
      <c r="BB11" s="143" t="str">
        <f t="shared" si="25"/>
        <v/>
      </c>
      <c r="BC11" s="143" t="str">
        <f t="shared" si="26"/>
        <v/>
      </c>
      <c r="BD11" s="143" t="str">
        <f t="shared" si="27"/>
        <v/>
      </c>
      <c r="BE11" s="143" t="str">
        <f t="shared" si="28"/>
        <v/>
      </c>
      <c r="BF11" s="143">
        <f t="shared" si="29"/>
        <v>1</v>
      </c>
      <c r="BG11" s="143">
        <f t="shared" si="30"/>
        <v>1</v>
      </c>
      <c r="BH11" s="143">
        <f t="shared" si="31"/>
        <v>1</v>
      </c>
      <c r="BI11" s="143">
        <f t="shared" si="32"/>
        <v>1</v>
      </c>
      <c r="BJ11" s="143">
        <f t="shared" si="33"/>
        <v>1</v>
      </c>
      <c r="BK11" s="143">
        <f t="shared" si="34"/>
        <v>1</v>
      </c>
      <c r="BL11" s="143" t="str">
        <f t="shared" si="35"/>
        <v/>
      </c>
      <c r="BN11" s="142">
        <f t="shared" si="36"/>
        <v>4</v>
      </c>
      <c r="BO11" s="154">
        <v>43891</v>
      </c>
      <c r="BP11" s="155"/>
      <c r="BQ11" s="155"/>
      <c r="BR11" s="155">
        <f t="shared" si="37"/>
        <v>0</v>
      </c>
      <c r="BS11" s="155"/>
      <c r="BU11" s="142">
        <f t="shared" si="12"/>
        <v>4</v>
      </c>
      <c r="BV11" s="154"/>
      <c r="BW11" s="155"/>
      <c r="BX11" s="153"/>
      <c r="BZ11" s="142">
        <f t="shared" si="13"/>
        <v>4</v>
      </c>
      <c r="CA11" s="154">
        <f>'III.Report năm'!J10</f>
        <v>43891</v>
      </c>
      <c r="CB11" s="155">
        <f t="shared" si="14"/>
        <v>0</v>
      </c>
      <c r="CC11" s="153">
        <f t="shared" si="15"/>
        <v>0</v>
      </c>
    </row>
    <row r="12" spans="1:81" s="127" customFormat="1" ht="30" x14ac:dyDescent="0.25">
      <c r="A12" s="80">
        <f t="shared" si="38"/>
        <v>5</v>
      </c>
      <c r="B12" s="80" t="s">
        <v>247</v>
      </c>
      <c r="C12" s="80" t="s">
        <v>135</v>
      </c>
      <c r="D12" s="81" t="s">
        <v>137</v>
      </c>
      <c r="E12" s="82" t="s">
        <v>132</v>
      </c>
      <c r="F12" s="83" t="str">
        <f t="shared" si="4"/>
        <v>OFF</v>
      </c>
      <c r="G12" s="83" t="str" cm="1">
        <f t="array" aca="1" ref="G12" ca="1">IF(ISERROR(INDEX(INDIRECT($Q$6),MATCH(1,(INDIRECT($C$6)=C12)*(INDIRECT($M$6)="Nghỉ việc"),0),1))=TRUE,"ON",
IF(INDEX(INDIRECT($Q$6),MATCH(1,(INDIRECT($C$6)=C12)*(INDIRECT($M$6)="Nghỉ việc"),0),1)&lt;=$E$3,"OFF","ON"))</f>
        <v>ON</v>
      </c>
      <c r="H12" s="83" t="str">
        <f t="shared" ca="1" si="5"/>
        <v>ON</v>
      </c>
      <c r="I12" s="83">
        <f t="shared" si="6"/>
        <v>3</v>
      </c>
      <c r="J12" s="83">
        <f t="shared" ca="1" si="16"/>
        <v>0</v>
      </c>
      <c r="K12" s="124">
        <v>44180</v>
      </c>
      <c r="L12" s="124">
        <v>73415</v>
      </c>
      <c r="M12" s="82"/>
      <c r="N12" s="84">
        <v>8000000</v>
      </c>
      <c r="O12" s="82" t="s">
        <v>141</v>
      </c>
      <c r="P12" s="83" t="s">
        <v>245</v>
      </c>
      <c r="Q12" s="138" t="str" cm="1">
        <f t="array" aca="1" ref="Q12" ca="1">IFERROR(INDEX(INDIRECT($L$6)+1,MATCH(1,(INDIRECT($C$6)=C12)*(INDIRECT($M$6)="Nghỉ việc"),0),1),"")</f>
        <v/>
      </c>
      <c r="R12" s="140">
        <f t="shared" si="7"/>
        <v>44166</v>
      </c>
      <c r="S12" s="140">
        <f t="shared" si="8"/>
        <v>73385</v>
      </c>
      <c r="T12" s="138">
        <f t="array" aca="1" ref="T12" ca="1">INDEX(INDIRECT($K$6),MATCH(1,(INDIRECT($C$6)=C12)*(INDIRECT($I$6)=1),0),1)</f>
        <v>43831</v>
      </c>
      <c r="U12" s="140">
        <f t="shared" ca="1" si="17"/>
        <v>43831</v>
      </c>
      <c r="V12" s="125" t="e">
        <f t="array" aca="1" ref="V12" ca="1">INDEX(INDIRECT($L$6),MATCH(1,(INDIRECT($C$6)=C12)*(INDIRECT($I$6)=_xlfn.MAXIFS(INDIRECT($I$6),INDIRECT($C$6),C12))*(INDIRECT($M$6)="Nghỉ việc"),0),1)</f>
        <v>#N/A</v>
      </c>
      <c r="W12" s="140" t="str">
        <f t="shared" ca="1" si="18"/>
        <v/>
      </c>
      <c r="X12" s="140" t="str">
        <f t="shared" si="19"/>
        <v/>
      </c>
      <c r="Y12" s="140" t="str">
        <f t="shared" si="20"/>
        <v/>
      </c>
      <c r="Z12" s="136">
        <f t="shared" si="9"/>
        <v>0</v>
      </c>
      <c r="AA12" s="136">
        <f t="shared" si="9"/>
        <v>0</v>
      </c>
      <c r="AB12" s="136">
        <f t="shared" si="9"/>
        <v>0</v>
      </c>
      <c r="AC12" s="136">
        <f t="shared" si="9"/>
        <v>0</v>
      </c>
      <c r="AD12" s="136">
        <f t="shared" si="9"/>
        <v>0</v>
      </c>
      <c r="AE12" s="136">
        <f t="shared" si="9"/>
        <v>0</v>
      </c>
      <c r="AF12" s="136">
        <f t="shared" si="9"/>
        <v>0</v>
      </c>
      <c r="AG12" s="136">
        <f t="shared" si="9"/>
        <v>0</v>
      </c>
      <c r="AH12" s="136">
        <f t="shared" si="9"/>
        <v>0</v>
      </c>
      <c r="AI12" s="136">
        <f t="shared" si="9"/>
        <v>0</v>
      </c>
      <c r="AJ12" s="136">
        <f t="shared" si="9"/>
        <v>0</v>
      </c>
      <c r="AK12" s="136">
        <f t="shared" si="9"/>
        <v>0</v>
      </c>
      <c r="AL12" s="136">
        <f t="shared" si="9"/>
        <v>8000000</v>
      </c>
      <c r="AM12" s="143" t="str">
        <f t="shared" si="21"/>
        <v/>
      </c>
      <c r="AN12" s="143" t="str">
        <f t="shared" si="22"/>
        <v/>
      </c>
      <c r="AO12" s="143" t="str">
        <f t="shared" si="22"/>
        <v/>
      </c>
      <c r="AP12" s="143" t="str">
        <f t="shared" si="22"/>
        <v/>
      </c>
      <c r="AQ12" s="143" t="str">
        <f t="shared" si="22"/>
        <v/>
      </c>
      <c r="AR12" s="143" t="str">
        <f t="shared" si="22"/>
        <v/>
      </c>
      <c r="AS12" s="143" t="str">
        <f t="shared" si="22"/>
        <v/>
      </c>
      <c r="AT12" s="143" t="str">
        <f t="shared" si="22"/>
        <v/>
      </c>
      <c r="AU12" s="143" t="str">
        <f t="shared" si="22"/>
        <v/>
      </c>
      <c r="AV12" s="143" t="str">
        <f t="shared" si="22"/>
        <v/>
      </c>
      <c r="AW12" s="143" t="str">
        <f t="shared" si="22"/>
        <v/>
      </c>
      <c r="AX12" s="143" t="str">
        <f t="shared" si="22"/>
        <v/>
      </c>
      <c r="AY12" s="143" t="str">
        <f t="shared" si="22"/>
        <v>Tháng bắt đầu QT</v>
      </c>
      <c r="AZ12" s="143" t="str">
        <f t="shared" ref="AZ12" si="39">IFERROR(HLOOKUP(AM12,$AN$1:$AQ$2,2,0),"")</f>
        <v/>
      </c>
      <c r="BA12" s="143" t="str">
        <f t="shared" ref="BA12" si="40">IFERROR(HLOOKUP(AN12,$AN$1:$AQ$2,2,0),"")</f>
        <v/>
      </c>
      <c r="BB12" s="143" t="str">
        <f t="shared" ref="BB12" si="41">IFERROR(HLOOKUP(AO12,$AN$1:$AQ$2,2,0),"")</f>
        <v/>
      </c>
      <c r="BC12" s="143" t="str">
        <f t="shared" ref="BC12" si="42">IFERROR(HLOOKUP(AP12,$AN$1:$AQ$2,2,0),"")</f>
        <v/>
      </c>
      <c r="BD12" s="143" t="str">
        <f t="shared" ref="BD12" si="43">IFERROR(HLOOKUP(AQ12,$AN$1:$AQ$2,2,0),"")</f>
        <v/>
      </c>
      <c r="BE12" s="143" t="str">
        <f t="shared" ref="BE12" si="44">IFERROR(HLOOKUP(AR12,$AN$1:$AQ$2,2,0),"")</f>
        <v/>
      </c>
      <c r="BF12" s="143" t="str">
        <f t="shared" ref="BF12" si="45">IFERROR(HLOOKUP(AS12,$AN$1:$AQ$2,2,0),"")</f>
        <v/>
      </c>
      <c r="BG12" s="143" t="str">
        <f t="shared" ref="BG12" si="46">IFERROR(HLOOKUP(AT12,$AN$1:$AQ$2,2,0),"")</f>
        <v/>
      </c>
      <c r="BH12" s="143" t="str">
        <f t="shared" ref="BH12" si="47">IFERROR(HLOOKUP(AU12,$AN$1:$AQ$2,2,0),"")</f>
        <v/>
      </c>
      <c r="BI12" s="143" t="str">
        <f t="shared" ref="BI12" si="48">IFERROR(HLOOKUP(AV12,$AN$1:$AQ$2,2,0),"")</f>
        <v/>
      </c>
      <c r="BJ12" s="143" t="str">
        <f t="shared" ref="BJ12" si="49">IFERROR(HLOOKUP(AW12,$AN$1:$AQ$2,2,0),"")</f>
        <v/>
      </c>
      <c r="BK12" s="143" t="str">
        <f t="shared" ref="BK12" si="50">IFERROR(HLOOKUP(AX12,$AN$1:$AQ$2,2,0),"")</f>
        <v/>
      </c>
      <c r="BL12" s="143">
        <f t="shared" ref="BL12" si="51">IFERROR(HLOOKUP(AY12,$AN$1:$AQ$2,2,0),"")</f>
        <v>2</v>
      </c>
      <c r="BN12" s="142">
        <f t="shared" si="36"/>
        <v>5</v>
      </c>
      <c r="BO12" s="154">
        <v>43922</v>
      </c>
      <c r="BP12" s="155"/>
      <c r="BQ12" s="155"/>
      <c r="BR12" s="155">
        <f t="shared" si="37"/>
        <v>0</v>
      </c>
      <c r="BS12" s="155"/>
      <c r="BU12" s="142">
        <f t="shared" si="12"/>
        <v>5</v>
      </c>
      <c r="BV12" s="154"/>
      <c r="BW12" s="155"/>
      <c r="BX12" s="153"/>
      <c r="BZ12" s="142">
        <f t="shared" si="13"/>
        <v>5</v>
      </c>
      <c r="CA12" s="154">
        <f>'III.Report năm'!K10</f>
        <v>43922</v>
      </c>
      <c r="CB12" s="155">
        <f t="shared" si="14"/>
        <v>0</v>
      </c>
      <c r="CC12" s="153">
        <f t="shared" si="15"/>
        <v>0</v>
      </c>
    </row>
    <row r="13" spans="1:81" s="127" customFormat="1" ht="30" x14ac:dyDescent="0.25">
      <c r="A13" s="80">
        <f t="shared" si="38"/>
        <v>6</v>
      </c>
      <c r="B13" s="80" t="s">
        <v>248</v>
      </c>
      <c r="C13" s="80" t="s">
        <v>136</v>
      </c>
      <c r="D13" s="81" t="s">
        <v>138</v>
      </c>
      <c r="E13" s="82" t="s">
        <v>132</v>
      </c>
      <c r="F13" s="83" t="str">
        <f t="shared" si="4"/>
        <v>OFF</v>
      </c>
      <c r="G13" s="83" t="str" cm="1">
        <f t="array" aca="1" ref="G13" ca="1">IF(ISERROR(INDEX(INDIRECT($Q$6),MATCH(1,(INDIRECT($C$6)=C13)*(INDIRECT($M$6)="Nghỉ việc"),0),1))=TRUE,"ON",
IF(INDEX(INDIRECT($Q$6),MATCH(1,(INDIRECT($C$6)=C13)*(INDIRECT($M$6)="Nghỉ việc"),0),1)&lt;=$E$3,"OFF","ON"))</f>
        <v>OFF</v>
      </c>
      <c r="H13" s="83" t="str">
        <f t="shared" ca="1" si="5"/>
        <v>OFF</v>
      </c>
      <c r="I13" s="83">
        <f t="shared" si="6"/>
        <v>1</v>
      </c>
      <c r="J13" s="83">
        <f t="shared" ca="1" si="16"/>
        <v>0</v>
      </c>
      <c r="K13" s="124">
        <v>43832</v>
      </c>
      <c r="L13" s="124">
        <v>43886</v>
      </c>
      <c r="M13" s="82" t="s">
        <v>142</v>
      </c>
      <c r="N13" s="84">
        <v>8000000</v>
      </c>
      <c r="O13" s="82" t="s">
        <v>141</v>
      </c>
      <c r="P13" s="83" t="s">
        <v>245</v>
      </c>
      <c r="Q13" s="138" cm="1">
        <f t="array" aca="1" ref="Q13" ca="1">IFERROR(INDEX(INDIRECT($L$6)+1,MATCH(1,(INDIRECT($C$6)=C13)*(INDIRECT($M$6)="Nghỉ việc"),0),1),"")</f>
        <v>43887</v>
      </c>
      <c r="R13" s="140">
        <f t="shared" si="7"/>
        <v>43831</v>
      </c>
      <c r="S13" s="140">
        <f t="shared" si="8"/>
        <v>43862</v>
      </c>
      <c r="T13" s="138">
        <f t="array" aca="1" ref="T13" ca="1">INDEX(INDIRECT($K$6),MATCH(1,(INDIRECT($C$6)=C13)*(INDIRECT($I$6)=1),0),1)</f>
        <v>43832</v>
      </c>
      <c r="U13" s="140">
        <f t="shared" ca="1" si="17"/>
        <v>43831</v>
      </c>
      <c r="V13" s="125">
        <f t="array" aca="1" ref="V13" ca="1">INDEX(INDIRECT($L$6),MATCH(1,(INDIRECT($C$6)=C13)*(INDIRECT($I$6)=_xlfn.MAXIFS(INDIRECT($I$6),INDIRECT($C$6),C13))*(INDIRECT($M$6)="Nghỉ việc"),0),1)</f>
        <v>43886</v>
      </c>
      <c r="W13" s="140">
        <f t="shared" ca="1" si="18"/>
        <v>43862</v>
      </c>
      <c r="X13" s="140" t="str">
        <f t="shared" si="19"/>
        <v/>
      </c>
      <c r="Y13" s="140" t="str">
        <f t="shared" si="20"/>
        <v/>
      </c>
      <c r="Z13" s="136">
        <f t="shared" si="9"/>
        <v>0</v>
      </c>
      <c r="AA13" s="136">
        <f t="shared" si="9"/>
        <v>8000000</v>
      </c>
      <c r="AB13" s="136">
        <f t="shared" si="9"/>
        <v>8000000</v>
      </c>
      <c r="AC13" s="136">
        <f t="shared" si="9"/>
        <v>0</v>
      </c>
      <c r="AD13" s="136">
        <f t="shared" si="9"/>
        <v>0</v>
      </c>
      <c r="AE13" s="136">
        <f t="shared" si="9"/>
        <v>0</v>
      </c>
      <c r="AF13" s="136">
        <f t="shared" si="9"/>
        <v>0</v>
      </c>
      <c r="AG13" s="136">
        <f t="shared" si="9"/>
        <v>0</v>
      </c>
      <c r="AH13" s="136">
        <f t="shared" si="9"/>
        <v>0</v>
      </c>
      <c r="AI13" s="136">
        <f t="shared" si="9"/>
        <v>0</v>
      </c>
      <c r="AJ13" s="136">
        <f t="shared" si="9"/>
        <v>0</v>
      </c>
      <c r="AK13" s="136">
        <f t="shared" si="9"/>
        <v>0</v>
      </c>
      <c r="AL13" s="136">
        <f t="shared" si="9"/>
        <v>0</v>
      </c>
      <c r="AM13" s="143" t="str">
        <f t="shared" si="21"/>
        <v/>
      </c>
      <c r="AN13" s="143" t="str">
        <f t="shared" si="22"/>
        <v>Tháng bắt đầu QT</v>
      </c>
      <c r="AO13" s="143" t="str">
        <f t="shared" si="22"/>
        <v>Tháng cuối cùng QT</v>
      </c>
      <c r="AP13" s="143" t="str">
        <f t="shared" si="22"/>
        <v/>
      </c>
      <c r="AQ13" s="143" t="str">
        <f t="shared" si="22"/>
        <v/>
      </c>
      <c r="AR13" s="143" t="str">
        <f t="shared" si="22"/>
        <v/>
      </c>
      <c r="AS13" s="143" t="str">
        <f t="shared" si="22"/>
        <v/>
      </c>
      <c r="AT13" s="143" t="str">
        <f t="shared" si="22"/>
        <v/>
      </c>
      <c r="AU13" s="143" t="str">
        <f t="shared" si="22"/>
        <v/>
      </c>
      <c r="AV13" s="143" t="str">
        <f t="shared" si="22"/>
        <v/>
      </c>
      <c r="AW13" s="143" t="str">
        <f t="shared" si="22"/>
        <v/>
      </c>
      <c r="AX13" s="143" t="str">
        <f t="shared" si="22"/>
        <v/>
      </c>
      <c r="AY13" s="143" t="str">
        <f t="shared" si="22"/>
        <v/>
      </c>
      <c r="AZ13" s="143" t="str">
        <f t="shared" si="23"/>
        <v/>
      </c>
      <c r="BA13" s="143">
        <f t="shared" si="24"/>
        <v>2</v>
      </c>
      <c r="BB13" s="143">
        <f t="shared" si="25"/>
        <v>2</v>
      </c>
      <c r="BC13" s="143" t="str">
        <f t="shared" si="26"/>
        <v/>
      </c>
      <c r="BD13" s="143" t="str">
        <f t="shared" si="27"/>
        <v/>
      </c>
      <c r="BE13" s="143" t="str">
        <f t="shared" si="28"/>
        <v/>
      </c>
      <c r="BF13" s="143" t="str">
        <f t="shared" si="29"/>
        <v/>
      </c>
      <c r="BG13" s="143" t="str">
        <f t="shared" si="30"/>
        <v/>
      </c>
      <c r="BH13" s="143" t="str">
        <f t="shared" si="31"/>
        <v/>
      </c>
      <c r="BI13" s="143" t="str">
        <f t="shared" si="32"/>
        <v/>
      </c>
      <c r="BJ13" s="143" t="str">
        <f t="shared" si="33"/>
        <v/>
      </c>
      <c r="BK13" s="143" t="str">
        <f t="shared" si="34"/>
        <v/>
      </c>
      <c r="BL13" s="143" t="str">
        <f t="shared" si="35"/>
        <v/>
      </c>
      <c r="BN13" s="142">
        <f t="shared" si="36"/>
        <v>6</v>
      </c>
      <c r="BO13" s="154">
        <v>43952</v>
      </c>
      <c r="BP13" s="155"/>
      <c r="BQ13" s="155"/>
      <c r="BR13" s="155">
        <f t="shared" si="37"/>
        <v>0</v>
      </c>
      <c r="BS13" s="155"/>
      <c r="BU13" s="142">
        <f t="shared" si="12"/>
        <v>6</v>
      </c>
      <c r="BV13" s="154"/>
      <c r="BW13" s="155"/>
      <c r="BX13" s="153"/>
      <c r="BZ13" s="142">
        <f t="shared" si="13"/>
        <v>6</v>
      </c>
      <c r="CA13" s="154">
        <f>'III.Report năm'!L10</f>
        <v>43952</v>
      </c>
      <c r="CB13" s="155">
        <f t="shared" si="14"/>
        <v>0</v>
      </c>
      <c r="CC13" s="153">
        <f t="shared" si="15"/>
        <v>0</v>
      </c>
    </row>
    <row r="14" spans="1:81" s="127" customFormat="1" ht="30" x14ac:dyDescent="0.25">
      <c r="A14" s="80">
        <f t="shared" si="38"/>
        <v>7</v>
      </c>
      <c r="B14" s="80" t="s">
        <v>248</v>
      </c>
      <c r="C14" s="80" t="s">
        <v>264</v>
      </c>
      <c r="D14" s="81" t="s">
        <v>265</v>
      </c>
      <c r="E14" s="82" t="s">
        <v>132</v>
      </c>
      <c r="F14" s="83" t="str">
        <f t="shared" si="4"/>
        <v>ON</v>
      </c>
      <c r="G14" s="83" t="str" cm="1">
        <f t="array" aca="1" ref="G14" ca="1">IF(ISERROR(INDEX(INDIRECT($Q$6),MATCH(1,(INDIRECT($C$6)=C14)*(INDIRECT($M$6)="Nghỉ việc"),0),1))=TRUE,"ON",
IF(INDEX(INDIRECT($Q$6),MATCH(1,(INDIRECT($C$6)=C14)*(INDIRECT($M$6)="Nghỉ việc"),0),1)&lt;=$E$3,"OFF","ON"))</f>
        <v>ON</v>
      </c>
      <c r="H14" s="83" t="str">
        <f t="shared" ca="1" si="5"/>
        <v>OFF</v>
      </c>
      <c r="I14" s="83">
        <f t="shared" si="6"/>
        <v>1</v>
      </c>
      <c r="J14" s="83">
        <f t="shared" ca="1" si="16"/>
        <v>0</v>
      </c>
      <c r="K14" s="124">
        <v>43832</v>
      </c>
      <c r="L14" s="124">
        <v>44124</v>
      </c>
      <c r="M14" s="82" t="s">
        <v>142</v>
      </c>
      <c r="N14" s="84">
        <v>5000000</v>
      </c>
      <c r="O14" s="82" t="s">
        <v>267</v>
      </c>
      <c r="P14" s="83" t="s">
        <v>266</v>
      </c>
      <c r="Q14" s="138" cm="1">
        <f t="array" aca="1" ref="Q14" ca="1">IFERROR(INDEX(INDIRECT($L$6)+1,MATCH(1,(INDIRECT($C$6)=C14)*(INDIRECT($M$6)="Nghỉ việc"),0),1),"")</f>
        <v>44125</v>
      </c>
      <c r="R14" s="140">
        <f t="shared" si="7"/>
        <v>43831</v>
      </c>
      <c r="S14" s="140">
        <f t="shared" si="8"/>
        <v>44105</v>
      </c>
      <c r="T14" s="138">
        <f t="array" aca="1" ref="T14" ca="1">INDEX(INDIRECT($K$6),MATCH(1,(INDIRECT($C$6)=C14)*(INDIRECT($I$6)=1),0),1)</f>
        <v>43832</v>
      </c>
      <c r="U14" s="140">
        <f t="shared" ca="1" si="17"/>
        <v>43831</v>
      </c>
      <c r="V14" s="125">
        <f t="array" aca="1" ref="V14" ca="1">INDEX(INDIRECT($L$6),MATCH(1,(INDIRECT($C$6)=C14)*(INDIRECT($I$6)=_xlfn.MAXIFS(INDIRECT($I$6),INDIRECT($C$6),C14))*(INDIRECT($M$6)="Nghỉ việc"),0),1)</f>
        <v>44124</v>
      </c>
      <c r="W14" s="140">
        <f t="shared" ca="1" si="18"/>
        <v>44105</v>
      </c>
      <c r="X14" s="140" t="str">
        <f t="shared" si="19"/>
        <v/>
      </c>
      <c r="Y14" s="140" t="str">
        <f t="shared" si="20"/>
        <v/>
      </c>
      <c r="Z14" s="136">
        <f t="shared" si="9"/>
        <v>0</v>
      </c>
      <c r="AA14" s="136">
        <f t="shared" si="9"/>
        <v>5000000</v>
      </c>
      <c r="AB14" s="136">
        <f t="shared" si="9"/>
        <v>5000000</v>
      </c>
      <c r="AC14" s="136">
        <f t="shared" si="9"/>
        <v>5000000</v>
      </c>
      <c r="AD14" s="136">
        <f t="shared" si="9"/>
        <v>5000000</v>
      </c>
      <c r="AE14" s="136">
        <f t="shared" si="9"/>
        <v>5000000</v>
      </c>
      <c r="AF14" s="136">
        <f t="shared" si="9"/>
        <v>5000000</v>
      </c>
      <c r="AG14" s="136">
        <f t="shared" si="9"/>
        <v>5000000</v>
      </c>
      <c r="AH14" s="136">
        <f t="shared" si="9"/>
        <v>5000000</v>
      </c>
      <c r="AI14" s="136">
        <f t="shared" si="9"/>
        <v>5000000</v>
      </c>
      <c r="AJ14" s="136">
        <f t="shared" si="9"/>
        <v>5000000</v>
      </c>
      <c r="AK14" s="136">
        <f t="shared" si="9"/>
        <v>0</v>
      </c>
      <c r="AL14" s="136">
        <f t="shared" si="9"/>
        <v>0</v>
      </c>
      <c r="AM14" s="143" t="str">
        <f t="shared" si="21"/>
        <v/>
      </c>
      <c r="AN14" s="143" t="str">
        <f t="shared" si="22"/>
        <v>Tháng bắt đầu QT</v>
      </c>
      <c r="AO14" s="143" t="str">
        <f t="shared" si="22"/>
        <v>Tháng đóng</v>
      </c>
      <c r="AP14" s="143" t="str">
        <f t="shared" si="22"/>
        <v>Tháng đóng</v>
      </c>
      <c r="AQ14" s="143" t="str">
        <f t="shared" si="22"/>
        <v>Tháng đóng</v>
      </c>
      <c r="AR14" s="143" t="str">
        <f t="shared" si="22"/>
        <v>Tháng đóng</v>
      </c>
      <c r="AS14" s="143" t="str">
        <f t="shared" si="22"/>
        <v>Tháng đóng</v>
      </c>
      <c r="AT14" s="143" t="str">
        <f t="shared" si="22"/>
        <v>Tháng đóng</v>
      </c>
      <c r="AU14" s="143" t="str">
        <f t="shared" si="22"/>
        <v>Tháng đóng</v>
      </c>
      <c r="AV14" s="143" t="str">
        <f t="shared" si="22"/>
        <v>Tháng đóng</v>
      </c>
      <c r="AW14" s="143" t="str">
        <f t="shared" si="22"/>
        <v>Tháng cuối cùng QT</v>
      </c>
      <c r="AX14" s="143" t="str">
        <f t="shared" si="22"/>
        <v/>
      </c>
      <c r="AY14" s="143" t="str">
        <f t="shared" si="22"/>
        <v/>
      </c>
      <c r="AZ14" s="143" t="str">
        <f t="shared" ref="AZ14" si="52">IFERROR(HLOOKUP(AM14,$AN$1:$AQ$2,2,0),"")</f>
        <v/>
      </c>
      <c r="BA14" s="143">
        <f t="shared" ref="BA14" si="53">IFERROR(HLOOKUP(AN14,$AN$1:$AQ$2,2,0),"")</f>
        <v>2</v>
      </c>
      <c r="BB14" s="143">
        <f t="shared" ref="BB14" si="54">IFERROR(HLOOKUP(AO14,$AN$1:$AQ$2,2,0),"")</f>
        <v>2</v>
      </c>
      <c r="BC14" s="143">
        <f t="shared" ref="BC14" si="55">IFERROR(HLOOKUP(AP14,$AN$1:$AQ$2,2,0),"")</f>
        <v>2</v>
      </c>
      <c r="BD14" s="143">
        <f t="shared" ref="BD14" si="56">IFERROR(HLOOKUP(AQ14,$AN$1:$AQ$2,2,0),"")</f>
        <v>2</v>
      </c>
      <c r="BE14" s="143">
        <f t="shared" ref="BE14" si="57">IFERROR(HLOOKUP(AR14,$AN$1:$AQ$2,2,0),"")</f>
        <v>2</v>
      </c>
      <c r="BF14" s="143">
        <f t="shared" ref="BF14" si="58">IFERROR(HLOOKUP(AS14,$AN$1:$AQ$2,2,0),"")</f>
        <v>2</v>
      </c>
      <c r="BG14" s="143">
        <f t="shared" ref="BG14" si="59">IFERROR(HLOOKUP(AT14,$AN$1:$AQ$2,2,0),"")</f>
        <v>2</v>
      </c>
      <c r="BH14" s="143">
        <f t="shared" ref="BH14" si="60">IFERROR(HLOOKUP(AU14,$AN$1:$AQ$2,2,0),"")</f>
        <v>2</v>
      </c>
      <c r="BI14" s="143">
        <f t="shared" ref="BI14" si="61">IFERROR(HLOOKUP(AV14,$AN$1:$AQ$2,2,0),"")</f>
        <v>2</v>
      </c>
      <c r="BJ14" s="143">
        <f t="shared" ref="BJ14" si="62">IFERROR(HLOOKUP(AW14,$AN$1:$AQ$2,2,0),"")</f>
        <v>2</v>
      </c>
      <c r="BK14" s="143" t="str">
        <f t="shared" ref="BK14" si="63">IFERROR(HLOOKUP(AX14,$AN$1:$AQ$2,2,0),"")</f>
        <v/>
      </c>
      <c r="BL14" s="143" t="str">
        <f t="shared" ref="BL14" si="64">IFERROR(HLOOKUP(AY14,$AN$1:$AQ$2,2,0),"")</f>
        <v/>
      </c>
      <c r="BN14" s="142">
        <f t="shared" si="36"/>
        <v>7</v>
      </c>
      <c r="BO14" s="154">
        <v>43983</v>
      </c>
      <c r="BP14" s="155"/>
      <c r="BQ14" s="155"/>
      <c r="BR14" s="155">
        <f t="shared" si="37"/>
        <v>0</v>
      </c>
      <c r="BS14" s="155"/>
      <c r="BU14" s="142">
        <f t="shared" si="12"/>
        <v>7</v>
      </c>
      <c r="BV14" s="154"/>
      <c r="BW14" s="155"/>
      <c r="BX14" s="153"/>
      <c r="BZ14" s="142">
        <f t="shared" si="13"/>
        <v>7</v>
      </c>
      <c r="CA14" s="154">
        <f>'III.Report năm'!M10</f>
        <v>43983</v>
      </c>
      <c r="CB14" s="155">
        <f t="shared" si="14"/>
        <v>0</v>
      </c>
      <c r="CC14" s="153">
        <f t="shared" si="15"/>
        <v>0</v>
      </c>
    </row>
    <row r="15" spans="1:81" s="127" customFormat="1" ht="30" x14ac:dyDescent="0.25">
      <c r="A15" s="80">
        <f t="shared" si="38"/>
        <v>8</v>
      </c>
      <c r="B15" s="80" t="s">
        <v>246</v>
      </c>
      <c r="C15" s="80" t="s">
        <v>128</v>
      </c>
      <c r="D15" s="81" t="s">
        <v>1</v>
      </c>
      <c r="E15" s="82" t="s">
        <v>133</v>
      </c>
      <c r="F15" s="83" t="str">
        <f t="shared" si="4"/>
        <v>ON</v>
      </c>
      <c r="G15" s="83" t="str" cm="1">
        <f t="array" aca="1" ref="G15" ca="1">IF(ISERROR(INDEX(INDIRECT($Q$6),MATCH(1,(INDIRECT($C$6)=C15)*(INDIRECT($M$6)="Nghỉ việc"),0),1))=TRUE,"ON",
IF(INDEX(INDIRECT($Q$6),MATCH(1,(INDIRECT($C$6)=C15)*(INDIRECT($M$6)="Nghỉ việc"),0),1)&lt;=$E$3,"OFF","ON"))</f>
        <v>ON</v>
      </c>
      <c r="H15" s="83" t="str">
        <f t="shared" ca="1" si="5"/>
        <v>OFF</v>
      </c>
      <c r="I15" s="83">
        <f t="shared" si="6"/>
        <v>1</v>
      </c>
      <c r="J15" s="83">
        <f t="shared" ca="1" si="16"/>
        <v>0</v>
      </c>
      <c r="K15" s="124">
        <v>43800</v>
      </c>
      <c r="L15" s="124">
        <v>43956</v>
      </c>
      <c r="M15" s="82" t="s">
        <v>142</v>
      </c>
      <c r="N15" s="84">
        <v>1000000</v>
      </c>
      <c r="O15" s="82" t="s">
        <v>141</v>
      </c>
      <c r="P15" s="83" t="s">
        <v>245</v>
      </c>
      <c r="Q15" s="138" cm="1">
        <f t="array" aca="1" ref="Q15" ca="1">IFERROR(INDEX(INDIRECT($L$6)+1,MATCH(1,(INDIRECT($C$6)=C15)*(INDIRECT($M$6)="Nghỉ việc"),0),1),"")</f>
        <v>43957</v>
      </c>
      <c r="R15" s="140">
        <f t="shared" si="7"/>
        <v>43800</v>
      </c>
      <c r="S15" s="140">
        <f t="shared" si="8"/>
        <v>43922</v>
      </c>
      <c r="T15" s="138">
        <f t="array" aca="1" ref="T15" ca="1">INDEX(INDIRECT($K$6),MATCH(1,(INDIRECT($C$6)=C15)*(INDIRECT($I$6)=1),0),1)</f>
        <v>43800</v>
      </c>
      <c r="U15" s="140">
        <f t="shared" ca="1" si="17"/>
        <v>43800</v>
      </c>
      <c r="V15" s="125">
        <f t="array" aca="1" ref="V15" ca="1">INDEX(INDIRECT($L$6),MATCH(1,(INDIRECT($C$6)=C15)*(INDIRECT($I$6)=_xlfn.MAXIFS(INDIRECT($I$6),INDIRECT($C$6),C15))*(INDIRECT($M$6)="Nghỉ việc"),0),1)</f>
        <v>43956</v>
      </c>
      <c r="W15" s="140">
        <f t="shared" ca="1" si="18"/>
        <v>43922</v>
      </c>
      <c r="X15" s="140" t="str">
        <f t="shared" si="19"/>
        <v/>
      </c>
      <c r="Y15" s="140" t="str">
        <f t="shared" si="20"/>
        <v/>
      </c>
      <c r="Z15" s="136">
        <f t="shared" si="9"/>
        <v>1000000</v>
      </c>
      <c r="AA15" s="136">
        <f t="shared" si="9"/>
        <v>1000000</v>
      </c>
      <c r="AB15" s="136">
        <f t="shared" si="9"/>
        <v>1000000</v>
      </c>
      <c r="AC15" s="136">
        <f t="shared" si="9"/>
        <v>1000000</v>
      </c>
      <c r="AD15" s="136">
        <f t="shared" si="9"/>
        <v>1000000</v>
      </c>
      <c r="AE15" s="136">
        <f t="shared" si="9"/>
        <v>0</v>
      </c>
      <c r="AF15" s="136">
        <f t="shared" si="9"/>
        <v>0</v>
      </c>
      <c r="AG15" s="136">
        <f t="shared" si="9"/>
        <v>0</v>
      </c>
      <c r="AH15" s="136">
        <f t="shared" si="9"/>
        <v>0</v>
      </c>
      <c r="AI15" s="136">
        <f t="shared" si="9"/>
        <v>0</v>
      </c>
      <c r="AJ15" s="136">
        <f t="shared" si="9"/>
        <v>0</v>
      </c>
      <c r="AK15" s="136">
        <f t="shared" si="9"/>
        <v>0</v>
      </c>
      <c r="AL15" s="136">
        <f t="shared" si="9"/>
        <v>0</v>
      </c>
      <c r="AM15" s="143" t="str">
        <f t="shared" si="21"/>
        <v>Tháng bắt đầu QT</v>
      </c>
      <c r="AN15" s="143" t="str">
        <f t="shared" si="22"/>
        <v>Tháng đóng</v>
      </c>
      <c r="AO15" s="143" t="str">
        <f t="shared" si="22"/>
        <v>Tháng đóng</v>
      </c>
      <c r="AP15" s="143" t="str">
        <f t="shared" si="22"/>
        <v>Tháng đóng</v>
      </c>
      <c r="AQ15" s="143" t="str">
        <f t="shared" si="22"/>
        <v>Tháng cuối cùng QT</v>
      </c>
      <c r="AR15" s="143" t="str">
        <f t="shared" si="22"/>
        <v/>
      </c>
      <c r="AS15" s="143" t="str">
        <f t="shared" si="22"/>
        <v/>
      </c>
      <c r="AT15" s="143" t="str">
        <f t="shared" si="22"/>
        <v/>
      </c>
      <c r="AU15" s="143" t="str">
        <f t="shared" si="22"/>
        <v/>
      </c>
      <c r="AV15" s="143" t="str">
        <f t="shared" si="22"/>
        <v/>
      </c>
      <c r="AW15" s="143" t="str">
        <f t="shared" si="22"/>
        <v/>
      </c>
      <c r="AX15" s="143" t="str">
        <f t="shared" si="22"/>
        <v/>
      </c>
      <c r="AY15" s="143" t="str">
        <f t="shared" si="22"/>
        <v/>
      </c>
      <c r="AZ15" s="143">
        <f t="shared" ref="AZ15" si="65">IFERROR(HLOOKUP(AM15,$AN$1:$AQ$2,2,0),"")</f>
        <v>2</v>
      </c>
      <c r="BA15" s="143">
        <f t="shared" ref="BA15" si="66">IFERROR(HLOOKUP(AN15,$AN$1:$AQ$2,2,0),"")</f>
        <v>2</v>
      </c>
      <c r="BB15" s="143">
        <f t="shared" ref="BB15" si="67">IFERROR(HLOOKUP(AO15,$AN$1:$AQ$2,2,0),"")</f>
        <v>2</v>
      </c>
      <c r="BC15" s="143">
        <f t="shared" ref="BC15" si="68">IFERROR(HLOOKUP(AP15,$AN$1:$AQ$2,2,0),"")</f>
        <v>2</v>
      </c>
      <c r="BD15" s="143">
        <f t="shared" ref="BD15" si="69">IFERROR(HLOOKUP(AQ15,$AN$1:$AQ$2,2,0),"")</f>
        <v>2</v>
      </c>
      <c r="BE15" s="143" t="str">
        <f t="shared" ref="BE15" si="70">IFERROR(HLOOKUP(AR15,$AN$1:$AQ$2,2,0),"")</f>
        <v/>
      </c>
      <c r="BF15" s="143" t="str">
        <f t="shared" ref="BF15" si="71">IFERROR(HLOOKUP(AS15,$AN$1:$AQ$2,2,0),"")</f>
        <v/>
      </c>
      <c r="BG15" s="143" t="str">
        <f t="shared" ref="BG15" si="72">IFERROR(HLOOKUP(AT15,$AN$1:$AQ$2,2,0),"")</f>
        <v/>
      </c>
      <c r="BH15" s="143" t="str">
        <f t="shared" ref="BH15" si="73">IFERROR(HLOOKUP(AU15,$AN$1:$AQ$2,2,0),"")</f>
        <v/>
      </c>
      <c r="BI15" s="143" t="str">
        <f t="shared" ref="BI15" si="74">IFERROR(HLOOKUP(AV15,$AN$1:$AQ$2,2,0),"")</f>
        <v/>
      </c>
      <c r="BJ15" s="143" t="str">
        <f t="shared" ref="BJ15" si="75">IFERROR(HLOOKUP(AW15,$AN$1:$AQ$2,2,0),"")</f>
        <v/>
      </c>
      <c r="BK15" s="143" t="str">
        <f t="shared" ref="BK15" si="76">IFERROR(HLOOKUP(AX15,$AN$1:$AQ$2,2,0),"")</f>
        <v/>
      </c>
      <c r="BL15" s="143" t="str">
        <f t="shared" ref="BL15" si="77">IFERROR(HLOOKUP(AY15,$AN$1:$AQ$2,2,0),"")</f>
        <v/>
      </c>
      <c r="BN15" s="142">
        <f t="shared" si="36"/>
        <v>8</v>
      </c>
      <c r="BO15" s="154">
        <v>44013</v>
      </c>
      <c r="BP15" s="155"/>
      <c r="BQ15" s="155"/>
      <c r="BR15" s="155">
        <f t="shared" si="37"/>
        <v>0</v>
      </c>
      <c r="BS15" s="155"/>
      <c r="BU15" s="142">
        <f t="shared" si="12"/>
        <v>8</v>
      </c>
      <c r="BV15" s="154"/>
      <c r="BW15" s="155"/>
      <c r="BX15" s="153"/>
      <c r="BZ15" s="142">
        <f t="shared" si="13"/>
        <v>8</v>
      </c>
      <c r="CA15" s="154">
        <f>'III.Report năm'!N10</f>
        <v>44013</v>
      </c>
      <c r="CB15" s="155">
        <f t="shared" si="14"/>
        <v>0</v>
      </c>
      <c r="CC15" s="153">
        <f t="shared" si="15"/>
        <v>0</v>
      </c>
    </row>
    <row r="16" spans="1:81" s="127" customFormat="1" ht="15" x14ac:dyDescent="0.25">
      <c r="A16" s="80">
        <f t="shared" si="38"/>
        <v>9</v>
      </c>
      <c r="B16" s="80"/>
      <c r="C16" s="80"/>
      <c r="D16" s="81"/>
      <c r="E16" s="82"/>
      <c r="F16" s="83" t="str">
        <f t="shared" si="4"/>
        <v>OFF</v>
      </c>
      <c r="G16" s="83" t="str" cm="1">
        <f t="array" aca="1" ref="G16" ca="1">IF(ISERROR(INDEX(INDIRECT($Q$6),MATCH(1,(INDIRECT($C$6)=C16)*(INDIRECT($M$6)="Nghỉ việc"),0),1))=TRUE,"ON",
IF(INDEX(INDIRECT($Q$6),MATCH(1,(INDIRECT($C$6)=C16)*(INDIRECT($M$6)="Nghỉ việc"),0),1)&lt;=$E$3,"OFF","ON"))</f>
        <v>ON</v>
      </c>
      <c r="H16" s="83" t="str">
        <f t="shared" ca="1" si="5"/>
        <v>ON</v>
      </c>
      <c r="I16" s="83">
        <f t="shared" si="6"/>
        <v>0</v>
      </c>
      <c r="J16" s="83">
        <f t="shared" ref="J16" ca="1" si="78">IF(COUNTIFS(INDIRECT($C$6),C16,INDIRECT($E$6),E16,INDIRECT($F$6),"ON",INDIRECT($L$6),L16)&gt;1,1,0)</f>
        <v>0</v>
      </c>
      <c r="K16" s="124"/>
      <c r="L16" s="124"/>
      <c r="M16" s="82"/>
      <c r="N16" s="84"/>
      <c r="O16" s="82"/>
      <c r="P16" s="83"/>
      <c r="Q16" s="138" t="str" cm="1">
        <f t="array" aca="1" ref="Q16" ca="1">IFERROR(INDEX(INDIRECT($L$6)+1,MATCH(1,(INDIRECT($C$6)=C16)*(INDIRECT($M$6)="Nghỉ việc"),0),1),"")</f>
        <v/>
      </c>
      <c r="R16" s="140">
        <f t="shared" ref="R16" si="79">IFERROR(IF(AND(DAY(K16)&gt;=1,DAY(K16)&lt;=15),
DATE(YEAR(K16),MONTH(K16),1),
DATE(YEAR(K16+15),MONTH(K16+15),1)),"")</f>
        <v>1</v>
      </c>
      <c r="S16" s="140">
        <f t="shared" ref="S16" si="80">IFERROR(IF(AND(DAY(L16)&gt;=1,DAY(L16)&lt;=15),
DATE(YEAR(L16-15),MONTH(L16-15),1),
DATE(YEAR(L16),MONTH(L16),1)),"")</f>
        <v>1</v>
      </c>
      <c r="T16" s="138" t="e">
        <f t="array" aca="1" ref="T16" ca="1">INDEX(INDIRECT($K$6),MATCH(1,(INDIRECT($C$6)=C16)*(INDIRECT($I$6)=1),0),1)</f>
        <v>#N/A</v>
      </c>
      <c r="U16" s="140" t="e">
        <f t="shared" ref="U16" ca="1" si="81">IF(AND(DAY(T16)&gt;=1,DAY(T16)&lt;=15),
DATE(YEAR(T16),MONTH(T16),1),
DATE(YEAR(T16+15),MONTH(T16+15),1))</f>
        <v>#N/A</v>
      </c>
      <c r="V16" s="125" t="e">
        <f t="array" aca="1" ref="V16" ca="1">INDEX(INDIRECT($L$6),MATCH(1,(INDIRECT($C$6)=C16)*(INDIRECT($I$6)=_xlfn.MAXIFS(INDIRECT($I$6),INDIRECT($C$6),C16))*(INDIRECT($M$6)="Nghỉ việc"),0),1)</f>
        <v>#N/A</v>
      </c>
      <c r="W16" s="140" t="str">
        <f t="shared" ref="W16" ca="1" si="82">IFERROR(IF(AND(DAY(V16)&gt;=1,DAY(V16)&lt;=15),
DATE(YEAR(V16-15),MONTH(V16-15),1),
DATE(YEAR(V16),MONTH(V16),1)),"")</f>
        <v/>
      </c>
      <c r="X16" s="140" t="str">
        <f t="shared" ref="X16" si="83">IF(M16="Thai sản không lương",
IF(AND(DAY(K16)&gt;=1,DAY(K16)&lt;=15),
DATE(YEAR(K16),MONTH(K16),1),
DATE(YEAR(K16+15),MONTH(K16+15),1)),
"")</f>
        <v/>
      </c>
      <c r="Y16" s="140" t="str">
        <f t="shared" ref="Y16" si="84">IF(M16="Thai sản không lương",
IF(AND(DAY(L16)&gt;=1,DAY(L16)&lt;=15),
DATE(YEAR(L16-15),MONTH(L16-15),1),
DATE(YEAR(L16),MONTH(L16),1)),
"")</f>
        <v/>
      </c>
      <c r="Z16" s="136">
        <f t="shared" si="9"/>
        <v>0</v>
      </c>
      <c r="AA16" s="136">
        <f t="shared" si="9"/>
        <v>0</v>
      </c>
      <c r="AB16" s="136">
        <f t="shared" si="9"/>
        <v>0</v>
      </c>
      <c r="AC16" s="136">
        <f t="shared" si="9"/>
        <v>0</v>
      </c>
      <c r="AD16" s="136">
        <f t="shared" si="9"/>
        <v>0</v>
      </c>
      <c r="AE16" s="136">
        <f t="shared" si="9"/>
        <v>0</v>
      </c>
      <c r="AF16" s="136">
        <f t="shared" si="9"/>
        <v>0</v>
      </c>
      <c r="AG16" s="136">
        <f t="shared" si="9"/>
        <v>0</v>
      </c>
      <c r="AH16" s="136">
        <f t="shared" si="9"/>
        <v>0</v>
      </c>
      <c r="AI16" s="136">
        <f t="shared" si="9"/>
        <v>0</v>
      </c>
      <c r="AJ16" s="136">
        <f t="shared" si="9"/>
        <v>0</v>
      </c>
      <c r="AK16" s="136">
        <f t="shared" si="9"/>
        <v>0</v>
      </c>
      <c r="AL16" s="136">
        <f t="shared" si="9"/>
        <v>0</v>
      </c>
      <c r="AM16" s="143" t="str">
        <f t="shared" si="21"/>
        <v/>
      </c>
      <c r="AN16" s="143" t="str">
        <f t="shared" si="22"/>
        <v/>
      </c>
      <c r="AO16" s="143" t="str">
        <f t="shared" si="22"/>
        <v/>
      </c>
      <c r="AP16" s="143" t="str">
        <f t="shared" si="22"/>
        <v/>
      </c>
      <c r="AQ16" s="143" t="str">
        <f t="shared" si="22"/>
        <v/>
      </c>
      <c r="AR16" s="143" t="str">
        <f t="shared" si="22"/>
        <v/>
      </c>
      <c r="AS16" s="143" t="str">
        <f t="shared" si="22"/>
        <v/>
      </c>
      <c r="AT16" s="143" t="str">
        <f t="shared" si="22"/>
        <v/>
      </c>
      <c r="AU16" s="143" t="str">
        <f t="shared" si="22"/>
        <v/>
      </c>
      <c r="AV16" s="143" t="str">
        <f t="shared" si="22"/>
        <v/>
      </c>
      <c r="AW16" s="143" t="str">
        <f t="shared" si="22"/>
        <v/>
      </c>
      <c r="AX16" s="143" t="str">
        <f t="shared" si="22"/>
        <v/>
      </c>
      <c r="AY16" s="143" t="str">
        <f t="shared" si="22"/>
        <v/>
      </c>
      <c r="AZ16" s="143" t="str">
        <f t="shared" ref="AZ16" si="85">IFERROR(HLOOKUP(AM16,$AN$1:$AQ$2,2,0),"")</f>
        <v/>
      </c>
      <c r="BA16" s="143" t="str">
        <f t="shared" ref="BA16" si="86">IFERROR(HLOOKUP(AN16,$AN$1:$AQ$2,2,0),"")</f>
        <v/>
      </c>
      <c r="BB16" s="143" t="str">
        <f t="shared" ref="BB16" si="87">IFERROR(HLOOKUP(AO16,$AN$1:$AQ$2,2,0),"")</f>
        <v/>
      </c>
      <c r="BC16" s="143" t="str">
        <f t="shared" ref="BC16" si="88">IFERROR(HLOOKUP(AP16,$AN$1:$AQ$2,2,0),"")</f>
        <v/>
      </c>
      <c r="BD16" s="143" t="str">
        <f t="shared" ref="BD16" si="89">IFERROR(HLOOKUP(AQ16,$AN$1:$AQ$2,2,0),"")</f>
        <v/>
      </c>
      <c r="BE16" s="143" t="str">
        <f t="shared" ref="BE16" si="90">IFERROR(HLOOKUP(AR16,$AN$1:$AQ$2,2,0),"")</f>
        <v/>
      </c>
      <c r="BF16" s="143" t="str">
        <f t="shared" ref="BF16" si="91">IFERROR(HLOOKUP(AS16,$AN$1:$AQ$2,2,0),"")</f>
        <v/>
      </c>
      <c r="BG16" s="143" t="str">
        <f t="shared" ref="BG16" si="92">IFERROR(HLOOKUP(AT16,$AN$1:$AQ$2,2,0),"")</f>
        <v/>
      </c>
      <c r="BH16" s="143" t="str">
        <f t="shared" ref="BH16" si="93">IFERROR(HLOOKUP(AU16,$AN$1:$AQ$2,2,0),"")</f>
        <v/>
      </c>
      <c r="BI16" s="143" t="str">
        <f t="shared" ref="BI16" si="94">IFERROR(HLOOKUP(AV16,$AN$1:$AQ$2,2,0),"")</f>
        <v/>
      </c>
      <c r="BJ16" s="143" t="str">
        <f t="shared" ref="BJ16" si="95">IFERROR(HLOOKUP(AW16,$AN$1:$AQ$2,2,0),"")</f>
        <v/>
      </c>
      <c r="BK16" s="143" t="str">
        <f t="shared" ref="BK16" si="96">IFERROR(HLOOKUP(AX16,$AN$1:$AQ$2,2,0),"")</f>
        <v/>
      </c>
      <c r="BL16" s="143" t="str">
        <f t="shared" ref="BL16" si="97">IFERROR(HLOOKUP(AY16,$AN$1:$AQ$2,2,0),"")</f>
        <v/>
      </c>
      <c r="BN16" s="142">
        <f t="shared" si="36"/>
        <v>9</v>
      </c>
      <c r="BO16" s="154">
        <v>44013</v>
      </c>
      <c r="BP16" s="155"/>
      <c r="BQ16" s="155"/>
      <c r="BR16" s="155">
        <f t="shared" ref="BR16" si="98">BP16-BQ16</f>
        <v>0</v>
      </c>
      <c r="BS16" s="155"/>
      <c r="BU16" s="142">
        <f t="shared" si="12"/>
        <v>9</v>
      </c>
      <c r="BV16" s="154"/>
      <c r="BW16" s="155"/>
      <c r="BX16" s="153"/>
      <c r="BZ16" s="142">
        <f t="shared" si="13"/>
        <v>9</v>
      </c>
      <c r="CA16" s="154">
        <f>'III.Report năm'!N11</f>
        <v>0</v>
      </c>
      <c r="CB16" s="155">
        <f t="shared" si="14"/>
        <v>0</v>
      </c>
      <c r="CC16" s="153" t="str">
        <f t="shared" si="15"/>
        <v/>
      </c>
    </row>
    <row r="17" spans="1:81" s="127" customFormat="1" ht="15" x14ac:dyDescent="0.25">
      <c r="A17" s="80"/>
      <c r="B17" s="80"/>
      <c r="C17" s="80"/>
      <c r="D17" s="81"/>
      <c r="E17" s="82"/>
      <c r="F17" s="83"/>
      <c r="G17" s="83"/>
      <c r="H17" s="83"/>
      <c r="I17" s="83"/>
      <c r="J17" s="83"/>
      <c r="K17" s="124"/>
      <c r="L17" s="124"/>
      <c r="M17" s="82"/>
      <c r="N17" s="84"/>
      <c r="O17" s="82"/>
      <c r="P17" s="83"/>
      <c r="Q17" s="138" t="str" cm="1">
        <f t="array" aca="1" ref="Q17" ca="1">IFERROR(INDEX(INDIRECT($L$6)+1,MATCH(1,(INDIRECT($C$6)=C17)*(INDIRECT($M$6)="Nghỉ việc"),0),1),"")</f>
        <v/>
      </c>
      <c r="R17" s="124"/>
      <c r="S17" s="124"/>
      <c r="T17" s="137"/>
      <c r="U17" s="84"/>
      <c r="V17" s="83"/>
      <c r="W17" s="83"/>
      <c r="X17" s="140" t="str">
        <f t="shared" si="19"/>
        <v/>
      </c>
      <c r="Y17" s="140" t="str">
        <f t="shared" si="20"/>
        <v/>
      </c>
      <c r="Z17" s="136"/>
      <c r="AA17" s="136"/>
      <c r="AB17" s="136"/>
      <c r="AC17" s="136"/>
      <c r="AD17" s="136"/>
      <c r="AE17" s="136"/>
      <c r="AF17" s="136"/>
      <c r="AG17" s="136"/>
      <c r="AH17" s="136"/>
      <c r="AI17" s="136"/>
      <c r="AJ17" s="136"/>
      <c r="AK17" s="136"/>
      <c r="AL17" s="136"/>
      <c r="AM17" s="143" t="str">
        <f t="shared" si="21"/>
        <v/>
      </c>
      <c r="AN17" s="143" t="str">
        <f t="shared" si="22"/>
        <v/>
      </c>
      <c r="AO17" s="143" t="str">
        <f t="shared" si="22"/>
        <v/>
      </c>
      <c r="AP17" s="143" t="str">
        <f t="shared" si="22"/>
        <v/>
      </c>
      <c r="AQ17" s="143" t="str">
        <f t="shared" si="22"/>
        <v/>
      </c>
      <c r="AR17" s="143" t="str">
        <f t="shared" si="22"/>
        <v/>
      </c>
      <c r="AS17" s="143" t="str">
        <f t="shared" si="22"/>
        <v/>
      </c>
      <c r="AT17" s="143" t="str">
        <f t="shared" si="22"/>
        <v/>
      </c>
      <c r="AU17" s="143" t="str">
        <f t="shared" si="22"/>
        <v/>
      </c>
      <c r="AV17" s="143" t="str">
        <f t="shared" si="22"/>
        <v/>
      </c>
      <c r="AW17" s="143" t="str">
        <f t="shared" si="22"/>
        <v/>
      </c>
      <c r="AX17" s="143" t="str">
        <f t="shared" si="22"/>
        <v/>
      </c>
      <c r="AY17" s="143" t="str">
        <f t="shared" si="22"/>
        <v/>
      </c>
      <c r="AZ17" s="143" t="str">
        <f t="shared" ref="AZ17:AZ21" si="99">IFERROR(HLOOKUP(AM17,$AN$1:$AQ$2,2,0),"")</f>
        <v/>
      </c>
      <c r="BA17" s="143" t="str">
        <f t="shared" ref="BA17:BA21" si="100">IFERROR(HLOOKUP(AN17,$AN$1:$AQ$2,2,0),"")</f>
        <v/>
      </c>
      <c r="BB17" s="143" t="str">
        <f t="shared" ref="BB17:BB21" si="101">IFERROR(HLOOKUP(AO17,$AN$1:$AQ$2,2,0),"")</f>
        <v/>
      </c>
      <c r="BC17" s="143" t="str">
        <f t="shared" ref="BC17:BC21" si="102">IFERROR(HLOOKUP(AP17,$AN$1:$AQ$2,2,0),"")</f>
        <v/>
      </c>
      <c r="BD17" s="143" t="str">
        <f t="shared" ref="BD17:BD21" si="103">IFERROR(HLOOKUP(AQ17,$AN$1:$AQ$2,2,0),"")</f>
        <v/>
      </c>
      <c r="BE17" s="143" t="str">
        <f t="shared" ref="BE17:BE21" si="104">IFERROR(HLOOKUP(AR17,$AN$1:$AQ$2,2,0),"")</f>
        <v/>
      </c>
      <c r="BF17" s="143" t="str">
        <f t="shared" ref="BF17:BF21" si="105">IFERROR(HLOOKUP(AS17,$AN$1:$AQ$2,2,0),"")</f>
        <v/>
      </c>
      <c r="BG17" s="143" t="str">
        <f t="shared" ref="BG17:BG21" si="106">IFERROR(HLOOKUP(AT17,$AN$1:$AQ$2,2,0),"")</f>
        <v/>
      </c>
      <c r="BH17" s="143" t="str">
        <f t="shared" ref="BH17:BH21" si="107">IFERROR(HLOOKUP(AU17,$AN$1:$AQ$2,2,0),"")</f>
        <v/>
      </c>
      <c r="BI17" s="143" t="str">
        <f t="shared" ref="BI17:BI21" si="108">IFERROR(HLOOKUP(AV17,$AN$1:$AQ$2,2,0),"")</f>
        <v/>
      </c>
      <c r="BJ17" s="143" t="str">
        <f t="shared" ref="BJ17:BJ21" si="109">IFERROR(HLOOKUP(AW17,$AN$1:$AQ$2,2,0),"")</f>
        <v/>
      </c>
      <c r="BK17" s="143" t="str">
        <f t="shared" ref="BK17:BK21" si="110">IFERROR(HLOOKUP(AX17,$AN$1:$AQ$2,2,0),"")</f>
        <v/>
      </c>
      <c r="BL17" s="143" t="str">
        <f t="shared" ref="BL17:BL21" si="111">IFERROR(HLOOKUP(AY17,$AN$1:$AQ$2,2,0),"")</f>
        <v/>
      </c>
      <c r="BN17" s="142">
        <f t="shared" si="36"/>
        <v>10</v>
      </c>
      <c r="BO17" s="154">
        <v>44075</v>
      </c>
      <c r="BP17" s="155"/>
      <c r="BQ17" s="155"/>
      <c r="BR17" s="155">
        <f t="shared" si="37"/>
        <v>0</v>
      </c>
      <c r="BS17" s="155"/>
      <c r="BU17" s="142">
        <f t="shared" si="12"/>
        <v>10</v>
      </c>
      <c r="BV17" s="154"/>
      <c r="BW17" s="155"/>
      <c r="BX17" s="153"/>
      <c r="BZ17" s="142">
        <f t="shared" si="13"/>
        <v>10</v>
      </c>
      <c r="CA17" s="154">
        <f>'III.Report năm'!P10</f>
        <v>44075</v>
      </c>
      <c r="CB17" s="155">
        <f t="shared" si="14"/>
        <v>0</v>
      </c>
      <c r="CC17" s="153" t="str">
        <f t="shared" si="15"/>
        <v/>
      </c>
    </row>
    <row r="18" spans="1:81" s="127" customFormat="1" ht="15" x14ac:dyDescent="0.25">
      <c r="A18" s="80"/>
      <c r="B18" s="80"/>
      <c r="C18" s="80"/>
      <c r="D18" s="81"/>
      <c r="E18" s="82"/>
      <c r="F18" s="83"/>
      <c r="G18" s="83"/>
      <c r="H18" s="83"/>
      <c r="I18" s="83"/>
      <c r="J18" s="83"/>
      <c r="K18" s="124"/>
      <c r="L18" s="124"/>
      <c r="M18" s="82"/>
      <c r="N18" s="84"/>
      <c r="O18" s="82"/>
      <c r="P18" s="83"/>
      <c r="Q18" s="138" t="str" cm="1">
        <f t="array" aca="1" ref="Q18" ca="1">IFERROR(INDEX(INDIRECT($L$6)+1,MATCH(1,(INDIRECT($C$6)=C18)*(INDIRECT($M$6)="Nghỉ việc"),0),1),"")</f>
        <v/>
      </c>
      <c r="R18" s="124"/>
      <c r="S18" s="124"/>
      <c r="T18" s="137"/>
      <c r="U18" s="84"/>
      <c r="V18" s="83"/>
      <c r="W18" s="83"/>
      <c r="X18" s="140" t="str">
        <f t="shared" si="19"/>
        <v/>
      </c>
      <c r="Y18" s="140" t="str">
        <f t="shared" si="20"/>
        <v/>
      </c>
      <c r="Z18" s="136"/>
      <c r="AA18" s="136"/>
      <c r="AB18" s="136"/>
      <c r="AC18" s="136"/>
      <c r="AD18" s="136"/>
      <c r="AE18" s="136"/>
      <c r="AF18" s="136"/>
      <c r="AG18" s="136"/>
      <c r="AH18" s="136"/>
      <c r="AI18" s="136"/>
      <c r="AJ18" s="136"/>
      <c r="AK18" s="136"/>
      <c r="AL18" s="136"/>
      <c r="AM18" s="143" t="str">
        <f t="shared" si="21"/>
        <v/>
      </c>
      <c r="AN18" s="143" t="str">
        <f t="shared" si="22"/>
        <v/>
      </c>
      <c r="AO18" s="143" t="str">
        <f t="shared" si="22"/>
        <v/>
      </c>
      <c r="AP18" s="143" t="str">
        <f t="shared" si="22"/>
        <v/>
      </c>
      <c r="AQ18" s="143" t="str">
        <f t="shared" si="22"/>
        <v/>
      </c>
      <c r="AR18" s="143" t="str">
        <f t="shared" si="22"/>
        <v/>
      </c>
      <c r="AS18" s="143" t="str">
        <f t="shared" si="22"/>
        <v/>
      </c>
      <c r="AT18" s="143" t="str">
        <f t="shared" si="22"/>
        <v/>
      </c>
      <c r="AU18" s="143" t="str">
        <f t="shared" si="22"/>
        <v/>
      </c>
      <c r="AV18" s="143" t="str">
        <f t="shared" si="22"/>
        <v/>
      </c>
      <c r="AW18" s="143" t="str">
        <f t="shared" si="22"/>
        <v/>
      </c>
      <c r="AX18" s="143" t="str">
        <f t="shared" si="22"/>
        <v/>
      </c>
      <c r="AY18" s="143" t="str">
        <f t="shared" si="22"/>
        <v/>
      </c>
      <c r="AZ18" s="143" t="str">
        <f t="shared" si="99"/>
        <v/>
      </c>
      <c r="BA18" s="143" t="str">
        <f t="shared" si="100"/>
        <v/>
      </c>
      <c r="BB18" s="143" t="str">
        <f t="shared" si="101"/>
        <v/>
      </c>
      <c r="BC18" s="143" t="str">
        <f t="shared" si="102"/>
        <v/>
      </c>
      <c r="BD18" s="143" t="str">
        <f t="shared" si="103"/>
        <v/>
      </c>
      <c r="BE18" s="143" t="str">
        <f t="shared" si="104"/>
        <v/>
      </c>
      <c r="BF18" s="143" t="str">
        <f t="shared" si="105"/>
        <v/>
      </c>
      <c r="BG18" s="143" t="str">
        <f t="shared" si="106"/>
        <v/>
      </c>
      <c r="BH18" s="143" t="str">
        <f t="shared" si="107"/>
        <v/>
      </c>
      <c r="BI18" s="143" t="str">
        <f t="shared" si="108"/>
        <v/>
      </c>
      <c r="BJ18" s="143" t="str">
        <f t="shared" si="109"/>
        <v/>
      </c>
      <c r="BK18" s="143" t="str">
        <f t="shared" si="110"/>
        <v/>
      </c>
      <c r="BL18" s="143" t="str">
        <f t="shared" si="111"/>
        <v/>
      </c>
      <c r="BN18" s="142">
        <f t="shared" si="36"/>
        <v>11</v>
      </c>
      <c r="BO18" s="154">
        <v>44105</v>
      </c>
      <c r="BP18" s="155"/>
      <c r="BQ18" s="155"/>
      <c r="BR18" s="155">
        <f t="shared" si="37"/>
        <v>0</v>
      </c>
      <c r="BS18" s="155"/>
      <c r="BU18" s="142">
        <f t="shared" si="12"/>
        <v>11</v>
      </c>
      <c r="BV18" s="154"/>
      <c r="BW18" s="155"/>
      <c r="BX18" s="153"/>
      <c r="BZ18" s="142">
        <f t="shared" si="13"/>
        <v>11</v>
      </c>
      <c r="CA18" s="154">
        <f>'III.Report năm'!Q10</f>
        <v>44105</v>
      </c>
      <c r="CB18" s="155">
        <f t="shared" si="14"/>
        <v>0</v>
      </c>
      <c r="CC18" s="153">
        <f t="shared" si="15"/>
        <v>0</v>
      </c>
    </row>
    <row r="19" spans="1:81" s="127" customFormat="1" ht="15" x14ac:dyDescent="0.25">
      <c r="A19" s="80"/>
      <c r="B19" s="80"/>
      <c r="C19" s="80"/>
      <c r="D19" s="81"/>
      <c r="E19" s="82"/>
      <c r="F19" s="83"/>
      <c r="G19" s="83"/>
      <c r="H19" s="83"/>
      <c r="I19" s="83"/>
      <c r="J19" s="83"/>
      <c r="K19" s="124"/>
      <c r="L19" s="124"/>
      <c r="M19" s="82"/>
      <c r="N19" s="84"/>
      <c r="O19" s="82"/>
      <c r="P19" s="83"/>
      <c r="Q19" s="138" t="str" cm="1">
        <f t="array" aca="1" ref="Q19" ca="1">IFERROR(INDEX(INDIRECT($L$6)+1,MATCH(1,(INDIRECT($C$6)=C19)*(INDIRECT($M$6)="Nghỉ việc"),0),1),"")</f>
        <v/>
      </c>
      <c r="R19" s="124"/>
      <c r="S19" s="124"/>
      <c r="T19" s="137"/>
      <c r="U19" s="84"/>
      <c r="V19" s="83"/>
      <c r="W19" s="83"/>
      <c r="X19" s="140" t="str">
        <f t="shared" si="19"/>
        <v/>
      </c>
      <c r="Y19" s="140" t="str">
        <f t="shared" si="20"/>
        <v/>
      </c>
      <c r="Z19" s="136"/>
      <c r="AA19" s="136"/>
      <c r="AB19" s="136"/>
      <c r="AC19" s="136"/>
      <c r="AD19" s="136"/>
      <c r="AE19" s="136"/>
      <c r="AF19" s="136"/>
      <c r="AG19" s="136"/>
      <c r="AH19" s="136"/>
      <c r="AI19" s="136"/>
      <c r="AJ19" s="136"/>
      <c r="AK19" s="136"/>
      <c r="AL19" s="136"/>
      <c r="AM19" s="143" t="str">
        <f t="shared" si="21"/>
        <v/>
      </c>
      <c r="AN19" s="143" t="str">
        <f t="shared" si="22"/>
        <v/>
      </c>
      <c r="AO19" s="143" t="str">
        <f t="shared" si="22"/>
        <v/>
      </c>
      <c r="AP19" s="143" t="str">
        <f t="shared" si="22"/>
        <v/>
      </c>
      <c r="AQ19" s="143" t="str">
        <f t="shared" si="22"/>
        <v/>
      </c>
      <c r="AR19" s="143" t="str">
        <f t="shared" si="22"/>
        <v/>
      </c>
      <c r="AS19" s="143" t="str">
        <f t="shared" si="22"/>
        <v/>
      </c>
      <c r="AT19" s="143" t="str">
        <f t="shared" si="22"/>
        <v/>
      </c>
      <c r="AU19" s="143" t="str">
        <f t="shared" si="22"/>
        <v/>
      </c>
      <c r="AV19" s="143" t="str">
        <f t="shared" si="22"/>
        <v/>
      </c>
      <c r="AW19" s="143" t="str">
        <f t="shared" si="22"/>
        <v/>
      </c>
      <c r="AX19" s="143" t="str">
        <f t="shared" si="22"/>
        <v/>
      </c>
      <c r="AY19" s="143" t="str">
        <f t="shared" si="22"/>
        <v/>
      </c>
      <c r="AZ19" s="143" t="str">
        <f t="shared" si="99"/>
        <v/>
      </c>
      <c r="BA19" s="143" t="str">
        <f t="shared" si="100"/>
        <v/>
      </c>
      <c r="BB19" s="143" t="str">
        <f t="shared" si="101"/>
        <v/>
      </c>
      <c r="BC19" s="143" t="str">
        <f t="shared" si="102"/>
        <v/>
      </c>
      <c r="BD19" s="143" t="str">
        <f t="shared" si="103"/>
        <v/>
      </c>
      <c r="BE19" s="143" t="str">
        <f t="shared" si="104"/>
        <v/>
      </c>
      <c r="BF19" s="143" t="str">
        <f t="shared" si="105"/>
        <v/>
      </c>
      <c r="BG19" s="143" t="str">
        <f t="shared" si="106"/>
        <v/>
      </c>
      <c r="BH19" s="143" t="str">
        <f t="shared" si="107"/>
        <v/>
      </c>
      <c r="BI19" s="143" t="str">
        <f t="shared" si="108"/>
        <v/>
      </c>
      <c r="BJ19" s="143" t="str">
        <f t="shared" si="109"/>
        <v/>
      </c>
      <c r="BK19" s="143" t="str">
        <f t="shared" si="110"/>
        <v/>
      </c>
      <c r="BL19" s="143" t="str">
        <f t="shared" si="111"/>
        <v/>
      </c>
      <c r="BN19" s="142">
        <f t="shared" si="36"/>
        <v>12</v>
      </c>
      <c r="BO19" s="154">
        <v>44136</v>
      </c>
      <c r="BP19" s="155"/>
      <c r="BQ19" s="155"/>
      <c r="BR19" s="155">
        <f t="shared" si="37"/>
        <v>0</v>
      </c>
      <c r="BS19" s="155"/>
      <c r="BZ19" s="142">
        <f t="shared" si="13"/>
        <v>12</v>
      </c>
      <c r="CA19" s="154">
        <f>'III.Report năm'!R10</f>
        <v>44136</v>
      </c>
      <c r="CB19" s="155">
        <f t="shared" ref="CB19:CB20" si="112">-SUMIFS($BR:$BR,$BO:$BO,DATE(YEAR(CA19),MONTH(CA19)-1,1))</f>
        <v>0</v>
      </c>
      <c r="CC19" s="153">
        <f t="shared" ref="CC19:CC20" si="113">IFERROR(INDEX($BS:$BS,MATCH(DATE(YEAR(CA19),MONTH(CA19)-1,1),$BO:$BO,0),1),"")</f>
        <v>0</v>
      </c>
    </row>
    <row r="20" spans="1:81" s="127" customFormat="1" ht="15" x14ac:dyDescent="0.25">
      <c r="A20" s="80"/>
      <c r="B20" s="80"/>
      <c r="C20" s="80"/>
      <c r="D20" s="81"/>
      <c r="E20" s="82"/>
      <c r="F20" s="83"/>
      <c r="G20" s="83"/>
      <c r="H20" s="83"/>
      <c r="I20" s="83"/>
      <c r="J20" s="83"/>
      <c r="K20" s="124"/>
      <c r="L20" s="124"/>
      <c r="M20" s="82"/>
      <c r="N20" s="84"/>
      <c r="O20" s="82"/>
      <c r="P20" s="83"/>
      <c r="Q20" s="138" t="str" cm="1">
        <f t="array" aca="1" ref="Q20" ca="1">IFERROR(INDEX(INDIRECT($L$6)+1,MATCH(1,(INDIRECT($C$6)=C20)*(INDIRECT($M$6)="Nghỉ việc"),0),1),"")</f>
        <v/>
      </c>
      <c r="R20" s="124"/>
      <c r="S20" s="124"/>
      <c r="T20" s="137"/>
      <c r="U20" s="84"/>
      <c r="V20" s="83"/>
      <c r="W20" s="83"/>
      <c r="X20" s="140" t="str">
        <f t="shared" si="19"/>
        <v/>
      </c>
      <c r="Y20" s="140" t="str">
        <f t="shared" si="20"/>
        <v/>
      </c>
      <c r="Z20" s="136"/>
      <c r="AA20" s="136"/>
      <c r="AB20" s="136"/>
      <c r="AC20" s="136"/>
      <c r="AD20" s="136"/>
      <c r="AE20" s="136"/>
      <c r="AF20" s="136"/>
      <c r="AG20" s="136"/>
      <c r="AH20" s="136"/>
      <c r="AI20" s="136"/>
      <c r="AJ20" s="136"/>
      <c r="AK20" s="136"/>
      <c r="AL20" s="136"/>
      <c r="AM20" s="143" t="str">
        <f t="shared" si="21"/>
        <v/>
      </c>
      <c r="AN20" s="143" t="str">
        <f t="shared" si="22"/>
        <v/>
      </c>
      <c r="AO20" s="143" t="str">
        <f t="shared" si="22"/>
        <v/>
      </c>
      <c r="AP20" s="143" t="str">
        <f t="shared" si="22"/>
        <v/>
      </c>
      <c r="AQ20" s="143" t="str">
        <f t="shared" si="22"/>
        <v/>
      </c>
      <c r="AR20" s="143" t="str">
        <f t="shared" si="22"/>
        <v/>
      </c>
      <c r="AS20" s="143" t="str">
        <f t="shared" si="22"/>
        <v/>
      </c>
      <c r="AT20" s="143" t="str">
        <f t="shared" si="22"/>
        <v/>
      </c>
      <c r="AU20" s="143" t="str">
        <f t="shared" si="22"/>
        <v/>
      </c>
      <c r="AV20" s="143" t="str">
        <f t="shared" si="22"/>
        <v/>
      </c>
      <c r="AW20" s="143" t="str">
        <f t="shared" si="22"/>
        <v/>
      </c>
      <c r="AX20" s="143" t="str">
        <f t="shared" si="22"/>
        <v/>
      </c>
      <c r="AY20" s="143" t="str">
        <f t="shared" si="22"/>
        <v/>
      </c>
      <c r="AZ20" s="143" t="str">
        <f t="shared" si="99"/>
        <v/>
      </c>
      <c r="BA20" s="143" t="str">
        <f t="shared" si="100"/>
        <v/>
      </c>
      <c r="BB20" s="143" t="str">
        <f t="shared" si="101"/>
        <v/>
      </c>
      <c r="BC20" s="143" t="str">
        <f t="shared" si="102"/>
        <v/>
      </c>
      <c r="BD20" s="143" t="str">
        <f t="shared" si="103"/>
        <v/>
      </c>
      <c r="BE20" s="143" t="str">
        <f t="shared" si="104"/>
        <v/>
      </c>
      <c r="BF20" s="143" t="str">
        <f t="shared" si="105"/>
        <v/>
      </c>
      <c r="BG20" s="143" t="str">
        <f t="shared" si="106"/>
        <v/>
      </c>
      <c r="BH20" s="143" t="str">
        <f t="shared" si="107"/>
        <v/>
      </c>
      <c r="BI20" s="143" t="str">
        <f t="shared" si="108"/>
        <v/>
      </c>
      <c r="BJ20" s="143" t="str">
        <f t="shared" si="109"/>
        <v/>
      </c>
      <c r="BK20" s="143" t="str">
        <f t="shared" si="110"/>
        <v/>
      </c>
      <c r="BL20" s="143" t="str">
        <f t="shared" si="111"/>
        <v/>
      </c>
      <c r="BN20" s="142">
        <f t="shared" si="36"/>
        <v>13</v>
      </c>
      <c r="BO20" s="154">
        <v>44166</v>
      </c>
      <c r="BP20" s="155"/>
      <c r="BQ20" s="155"/>
      <c r="BR20" s="155">
        <f t="shared" si="37"/>
        <v>0</v>
      </c>
      <c r="BS20" s="155"/>
      <c r="BZ20" s="142">
        <f t="shared" si="13"/>
        <v>13</v>
      </c>
      <c r="CA20" s="154">
        <f>'III.Report năm'!S10</f>
        <v>44166</v>
      </c>
      <c r="CB20" s="155">
        <f t="shared" si="112"/>
        <v>0</v>
      </c>
      <c r="CC20" s="153">
        <f t="shared" si="113"/>
        <v>0</v>
      </c>
    </row>
    <row r="21" spans="1:81" s="127" customFormat="1" ht="15" x14ac:dyDescent="0.25">
      <c r="A21" s="80"/>
      <c r="B21" s="80"/>
      <c r="C21" s="80"/>
      <c r="D21" s="81"/>
      <c r="E21" s="82"/>
      <c r="F21" s="83"/>
      <c r="G21" s="83"/>
      <c r="H21" s="83"/>
      <c r="I21" s="83"/>
      <c r="J21" s="83"/>
      <c r="K21" s="124"/>
      <c r="L21" s="124"/>
      <c r="M21" s="82"/>
      <c r="N21" s="84"/>
      <c r="O21" s="82"/>
      <c r="P21" s="83"/>
      <c r="Q21" s="138" t="str" cm="1">
        <f t="array" aca="1" ref="Q21" ca="1">IFERROR(INDEX(INDIRECT($L$6)+1,MATCH(1,(INDIRECT($C$6)=C21)*(INDIRECT($M$6)="Nghỉ việc"),0),1),"")</f>
        <v/>
      </c>
      <c r="R21" s="124"/>
      <c r="S21" s="124"/>
      <c r="T21" s="137"/>
      <c r="U21" s="84"/>
      <c r="V21" s="83"/>
      <c r="W21" s="83"/>
      <c r="X21" s="83"/>
      <c r="Y21" s="83"/>
      <c r="Z21" s="136"/>
      <c r="AA21" s="136"/>
      <c r="AB21" s="136"/>
      <c r="AC21" s="136"/>
      <c r="AD21" s="136"/>
      <c r="AE21" s="136"/>
      <c r="AF21" s="136"/>
      <c r="AG21" s="136"/>
      <c r="AH21" s="136"/>
      <c r="AI21" s="136"/>
      <c r="AJ21" s="136"/>
      <c r="AK21" s="136"/>
      <c r="AL21" s="136"/>
      <c r="AM21" s="143" t="str">
        <f t="shared" si="21"/>
        <v/>
      </c>
      <c r="AN21" s="143" t="str">
        <f t="shared" si="22"/>
        <v/>
      </c>
      <c r="AO21" s="143" t="str">
        <f t="shared" si="22"/>
        <v/>
      </c>
      <c r="AP21" s="143" t="str">
        <f t="shared" si="22"/>
        <v/>
      </c>
      <c r="AQ21" s="143" t="str">
        <f t="shared" si="22"/>
        <v/>
      </c>
      <c r="AR21" s="143" t="str">
        <f t="shared" si="22"/>
        <v/>
      </c>
      <c r="AS21" s="143" t="str">
        <f t="shared" si="22"/>
        <v/>
      </c>
      <c r="AT21" s="143" t="str">
        <f t="shared" si="22"/>
        <v/>
      </c>
      <c r="AU21" s="143" t="str">
        <f t="shared" si="22"/>
        <v/>
      </c>
      <c r="AV21" s="143" t="str">
        <f t="shared" si="22"/>
        <v/>
      </c>
      <c r="AW21" s="143" t="str">
        <f t="shared" si="22"/>
        <v/>
      </c>
      <c r="AX21" s="143" t="str">
        <f t="shared" si="22"/>
        <v/>
      </c>
      <c r="AY21" s="143" t="str">
        <f t="shared" si="22"/>
        <v/>
      </c>
      <c r="AZ21" s="143" t="str">
        <f t="shared" si="99"/>
        <v/>
      </c>
      <c r="BA21" s="143" t="str">
        <f t="shared" si="100"/>
        <v/>
      </c>
      <c r="BB21" s="143" t="str">
        <f t="shared" si="101"/>
        <v/>
      </c>
      <c r="BC21" s="143" t="str">
        <f t="shared" si="102"/>
        <v/>
      </c>
      <c r="BD21" s="143" t="str">
        <f t="shared" si="103"/>
        <v/>
      </c>
      <c r="BE21" s="143" t="str">
        <f t="shared" si="104"/>
        <v/>
      </c>
      <c r="BF21" s="143" t="str">
        <f t="shared" si="105"/>
        <v/>
      </c>
      <c r="BG21" s="143" t="str">
        <f t="shared" si="106"/>
        <v/>
      </c>
      <c r="BH21" s="143" t="str">
        <f t="shared" si="107"/>
        <v/>
      </c>
      <c r="BI21" s="143" t="str">
        <f t="shared" si="108"/>
        <v/>
      </c>
      <c r="BJ21" s="143" t="str">
        <f t="shared" si="109"/>
        <v/>
      </c>
      <c r="BK21" s="143" t="str">
        <f t="shared" si="110"/>
        <v/>
      </c>
      <c r="BL21" s="143" t="str">
        <f t="shared" si="111"/>
        <v/>
      </c>
      <c r="BN21" s="142">
        <f t="shared" si="36"/>
        <v>14</v>
      </c>
      <c r="BO21" s="142"/>
      <c r="BP21" s="155"/>
      <c r="BQ21" s="155"/>
      <c r="BR21" s="155"/>
      <c r="BS21" s="155"/>
    </row>
    <row r="22" spans="1:81" x14ac:dyDescent="0.25">
      <c r="BN22" s="142">
        <f t="shared" si="36"/>
        <v>15</v>
      </c>
      <c r="BO22" s="142"/>
      <c r="BP22" s="155"/>
      <c r="BQ22" s="155"/>
      <c r="BR22" s="155"/>
      <c r="BS22" s="155"/>
    </row>
    <row r="23" spans="1:81" x14ac:dyDescent="0.25">
      <c r="BN23" s="142">
        <f t="shared" si="36"/>
        <v>16</v>
      </c>
      <c r="BO23" s="142"/>
      <c r="BP23" s="155"/>
      <c r="BQ23" s="155"/>
      <c r="BR23" s="155"/>
      <c r="BS23" s="155"/>
    </row>
    <row r="24" spans="1:81" x14ac:dyDescent="0.25">
      <c r="BN24" s="142">
        <f t="shared" si="36"/>
        <v>17</v>
      </c>
      <c r="BO24" s="142"/>
      <c r="BP24" s="155"/>
      <c r="BQ24" s="155"/>
      <c r="BR24" s="155"/>
      <c r="BS24" s="155"/>
    </row>
    <row r="25" spans="1:81" x14ac:dyDescent="0.25">
      <c r="BN25" s="142">
        <f t="shared" si="36"/>
        <v>18</v>
      </c>
      <c r="BO25" s="142"/>
      <c r="BP25" s="155"/>
      <c r="BQ25" s="155"/>
      <c r="BR25" s="155"/>
      <c r="BS25" s="155"/>
    </row>
    <row r="26" spans="1:81" x14ac:dyDescent="0.25">
      <c r="BN26" s="142">
        <f t="shared" si="36"/>
        <v>19</v>
      </c>
      <c r="BO26" s="142"/>
      <c r="BP26" s="155"/>
      <c r="BQ26" s="155"/>
      <c r="BR26" s="155"/>
      <c r="BS26" s="155"/>
    </row>
    <row r="29" spans="1:81" x14ac:dyDescent="0.25">
      <c r="K29" s="113"/>
      <c r="M29" s="113"/>
    </row>
  </sheetData>
  <autoFilter ref="A7:CC21" xr:uid="{75F0A73C-392F-4E2F-9678-64E5B111B58B}"/>
  <mergeCells count="4">
    <mergeCell ref="J2:K2"/>
    <mergeCell ref="Z4:AL4"/>
    <mergeCell ref="AM4:AY4"/>
    <mergeCell ref="AZ4:BL4"/>
  </mergeCells>
  <phoneticPr fontId="17" type="noConversion"/>
  <conditionalFormatting sqref="T2:U2 Y2 O2 J2">
    <cfRule type="containsText" dxfId="1" priority="1" operator="containsText" text="Ok">
      <formula>NOT(ISERROR(SEARCH("Ok",J2)))</formula>
    </cfRule>
    <cfRule type="containsText" dxfId="0" priority="2" operator="containsText" text="Lỗi trùng thu nhập">
      <formula>NOT(ISERROR(SEARCH("Lỗi trùng thu nhập",J2)))</formula>
    </cfRule>
  </conditionalFormatting>
  <dataValidations count="4">
    <dataValidation type="list" allowBlank="1" showInputMessage="1" showErrorMessage="1" sqref="P8:P21" xr:uid="{F5836B41-53D9-4502-B23A-B39E03236C2D}">
      <formula1>"Có,Không"</formula1>
    </dataValidation>
    <dataValidation type="list" allowBlank="1" showInputMessage="1" showErrorMessage="1" sqref="O17:O21" xr:uid="{20E09B19-B349-488E-B610-815649A0185E}">
      <formula1>"Cty đóng hết,2 bên đóng"</formula1>
    </dataValidation>
    <dataValidation type="list" allowBlank="1" showInputMessage="1" showErrorMessage="1" sqref="M8:M21" xr:uid="{244FC19F-57EA-488C-B8AA-C983E627AA04}">
      <formula1>"Thay đổi lương,Nghỉ việc,Thai sản không lương"</formula1>
    </dataValidation>
    <dataValidation type="list" allowBlank="1" showInputMessage="1" showErrorMessage="1" sqref="O8:O16" xr:uid="{E7D51FB9-DF7F-446E-87D2-4B9EC72AEBF6}">
      <formula1>"Cty đóng hết,2 bên đóng,NLĐ đóng hết"</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F3776C5-238A-49EC-AF80-A30E0D970D7C}">
          <x14:formula1>
            <xm:f>HDSD!$D$60:$D$62</xm:f>
          </x14:formula1>
          <xm:sqref>E8:E21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8F71-6EAB-483E-90C1-89C053F6256B}">
  <sheetPr codeName="Sheet6"/>
  <dimension ref="A1:AU63"/>
  <sheetViews>
    <sheetView topLeftCell="AI1" zoomScale="80" zoomScaleNormal="80" workbookViewId="0">
      <pane ySplit="2" topLeftCell="A3" activePane="bottomLeft" state="frozen"/>
      <selection pane="bottomLeft" activeCell="AL19" sqref="AL19"/>
    </sheetView>
  </sheetViews>
  <sheetFormatPr defaultColWidth="8.75" defaultRowHeight="15.75" x14ac:dyDescent="0.25"/>
  <cols>
    <col min="1" max="1" width="8.75" style="39"/>
    <col min="2" max="2" width="7" style="39" customWidth="1"/>
    <col min="3" max="3" width="6.75" style="39" customWidth="1"/>
    <col min="4" max="4" width="8.75" style="39"/>
    <col min="5" max="6" width="7.5" style="39" customWidth="1"/>
    <col min="7" max="7" width="8.75" style="39"/>
    <col min="8" max="9" width="7.125" style="39" customWidth="1"/>
    <col min="10" max="10" width="13.75" style="39" bestFit="1" customWidth="1"/>
    <col min="11" max="12" width="6.75" style="39" customWidth="1"/>
    <col min="13" max="13" width="12.625" style="39" customWidth="1"/>
    <col min="14" max="14" width="10.875" style="96" customWidth="1"/>
    <col min="15" max="15" width="36.5" style="96" customWidth="1"/>
    <col min="16" max="16" width="32.25" style="96" customWidth="1"/>
    <col min="17" max="17" width="29.75" style="96" customWidth="1"/>
    <col min="18" max="18" width="33.75" style="96" customWidth="1"/>
    <col min="19" max="19" width="37.25" style="39" bestFit="1" customWidth="1"/>
    <col min="20" max="20" width="37.25" style="39" customWidth="1"/>
    <col min="21" max="21" width="12.5" style="39" customWidth="1"/>
    <col min="22" max="22" width="12.125" style="39" customWidth="1"/>
    <col min="23" max="23" width="8.5" style="39" customWidth="1"/>
    <col min="24" max="24" width="7.75" style="39" customWidth="1"/>
    <col min="25" max="30" width="15.625" style="100" customWidth="1"/>
    <col min="31" max="31" width="9.25" style="100" bestFit="1" customWidth="1"/>
    <col min="32" max="33" width="36.75" style="100" customWidth="1"/>
    <col min="34" max="34" width="55.125" style="100" customWidth="1"/>
    <col min="35" max="37" width="18.75" style="39" customWidth="1"/>
    <col min="38" max="38" width="16.25" style="39" customWidth="1"/>
    <col min="39" max="41" width="8.75" style="39"/>
    <col min="42" max="46" width="16.5" style="39" customWidth="1"/>
    <col min="47" max="16384" width="8.75" style="39"/>
  </cols>
  <sheetData>
    <row r="1" spans="1:47" ht="25.5" x14ac:dyDescent="0.25">
      <c r="A1" s="43" t="s">
        <v>240</v>
      </c>
      <c r="M1" s="96"/>
      <c r="AJ1" s="39" t="s">
        <v>188</v>
      </c>
      <c r="AK1" s="39" t="s">
        <v>189</v>
      </c>
      <c r="AL1" s="39" t="s">
        <v>190</v>
      </c>
      <c r="AM1" s="100"/>
    </row>
    <row r="2" spans="1:47" s="97" customFormat="1" ht="30.75" customHeight="1" x14ac:dyDescent="0.25">
      <c r="A2" s="98" t="s">
        <v>157</v>
      </c>
      <c r="B2" s="346" t="s">
        <v>144</v>
      </c>
      <c r="C2" s="347"/>
      <c r="D2" s="109" t="s">
        <v>145</v>
      </c>
      <c r="E2" s="110"/>
      <c r="F2" s="110"/>
      <c r="G2" s="103" t="s">
        <v>152</v>
      </c>
      <c r="H2" s="110"/>
      <c r="I2" s="110"/>
      <c r="J2" s="109" t="s">
        <v>146</v>
      </c>
      <c r="K2" s="346" t="s">
        <v>147</v>
      </c>
      <c r="L2" s="347"/>
      <c r="M2" s="98" t="s">
        <v>153</v>
      </c>
      <c r="N2" s="98" t="s">
        <v>17</v>
      </c>
      <c r="O2" s="105" t="s">
        <v>199</v>
      </c>
      <c r="P2" s="105" t="s">
        <v>158</v>
      </c>
      <c r="Q2" s="105" t="s">
        <v>159</v>
      </c>
      <c r="R2" s="105" t="s">
        <v>170</v>
      </c>
      <c r="S2" s="105" t="s">
        <v>175</v>
      </c>
      <c r="T2" s="105" t="s">
        <v>198</v>
      </c>
      <c r="V2" s="102" t="s">
        <v>186</v>
      </c>
      <c r="W2" s="97" t="s">
        <v>187</v>
      </c>
      <c r="Y2" s="104" t="s">
        <v>192</v>
      </c>
      <c r="Z2" s="104" t="s">
        <v>191</v>
      </c>
      <c r="AA2" s="104" t="s">
        <v>193</v>
      </c>
      <c r="AB2" s="104" t="s">
        <v>194</v>
      </c>
      <c r="AC2" s="104" t="s">
        <v>195</v>
      </c>
      <c r="AD2" s="104" t="s">
        <v>200</v>
      </c>
      <c r="AE2" s="100"/>
      <c r="AF2" s="100" t="s">
        <v>196</v>
      </c>
      <c r="AG2" s="100" t="s">
        <v>293</v>
      </c>
      <c r="AH2" s="101" t="s">
        <v>235</v>
      </c>
      <c r="AI2" s="97" t="s">
        <v>129</v>
      </c>
      <c r="AJ2" s="111">
        <v>43862</v>
      </c>
      <c r="AK2" s="111">
        <f>EOMONTH(AJ2,0)</f>
        <v>43890</v>
      </c>
      <c r="AL2" s="111">
        <f>DATE(YEAR(AK2),MONTH(AK2),15)</f>
        <v>43876</v>
      </c>
      <c r="AO2" s="26"/>
      <c r="AP2" s="233" t="s">
        <v>296</v>
      </c>
      <c r="AQ2" s="26"/>
      <c r="AR2" s="26"/>
      <c r="AS2" s="26"/>
      <c r="AT2" s="26"/>
      <c r="AU2" s="26"/>
    </row>
    <row r="3" spans="1:47" s="113" customFormat="1" ht="15.75" customHeight="1" x14ac:dyDescent="0.25">
      <c r="A3" s="112">
        <f>ROW()-ROW($A$2)</f>
        <v>1</v>
      </c>
      <c r="B3" s="99" t="s">
        <v>154</v>
      </c>
      <c r="C3" s="99"/>
      <c r="D3" s="112"/>
      <c r="E3" s="112"/>
      <c r="F3" s="112"/>
      <c r="G3" s="112"/>
      <c r="H3" s="112"/>
      <c r="I3" s="112"/>
      <c r="J3" s="112"/>
      <c r="K3" s="112"/>
      <c r="L3" s="112"/>
      <c r="M3" s="101" t="s">
        <v>150</v>
      </c>
      <c r="N3" s="97"/>
      <c r="O3" s="97" t="s">
        <v>160</v>
      </c>
      <c r="P3" s="97"/>
      <c r="Q3" s="97"/>
      <c r="R3" s="97"/>
      <c r="U3" s="101"/>
      <c r="V3" s="101">
        <v>1</v>
      </c>
      <c r="W3" s="101" t="str">
        <f>M3</f>
        <v>OFF</v>
      </c>
      <c r="X3" s="101"/>
      <c r="Y3" s="100" t="str">
        <f t="shared" ref="Y3:Y33" ca="1" si="0">SUBSTITUTE(SUBSTITUTE(SUBSTITUTE(SUBSTITUTE(SUBSTITUTE(O3,
"Ngày đầu kỳ",$AJ$8),
"Ngày cuối kỳ",$AJ$9),
"Ngày giữa kỳ",$AJ$10),
"Ngày bắt đầu QT",$AJ$11),
"Ngày kết thúc QT",$AJ$12)</f>
        <v>$AJ$6 = $AK$6</v>
      </c>
      <c r="Z3" s="100" t="str">
        <f t="shared" ref="Z3:AD3" ca="1" si="1">SUBSTITUTE(SUBSTITUTE(SUBSTITUTE(SUBSTITUTE(SUBSTITUTE(P3,
"Ngày đầu kỳ",$AJ$8),
"Ngày cuối kỳ",$AJ$9),
"Ngày giữa kỳ",$AJ$10),
"Ngày bắt đầu QT",$AJ$11),
"Ngày kết thúc QT",$AJ$12)</f>
        <v/>
      </c>
      <c r="AA3" s="100" t="str">
        <f t="shared" ca="1" si="1"/>
        <v/>
      </c>
      <c r="AB3" s="100" t="str">
        <f t="shared" ca="1" si="1"/>
        <v/>
      </c>
      <c r="AC3" s="100" t="str">
        <f t="shared" ca="1" si="1"/>
        <v/>
      </c>
      <c r="AD3" s="100" t="str">
        <f t="shared" ca="1" si="1"/>
        <v/>
      </c>
      <c r="AE3" s="100"/>
      <c r="AF3" s="100" t="str">
        <f ca="1">IF(COUNTIF(Z3:AD3,"")=4,Z3,
IF(COUNTIF(Z3:AD3,"")=3,"AND("&amp;Z3&amp;","&amp;AA3&amp;")",
IF(COUNTIF(Z3:AD3,"")=2,"AND("&amp;Z3&amp;","&amp;AA3&amp;","&amp;AB3&amp;")",
IF(COUNTIF(Z3:AD3,"")=1,"AND("&amp;Z3&amp;","&amp;AA3&amp;","&amp;AB3&amp;","&amp;AC3&amp;")",
IF(COUNTIF(Z3:AD3,"")=0,"AND("&amp;Z3&amp;","&amp;AA3&amp;","&amp;AB3&amp;","&amp;AC3&amp;","&amp;AD3&amp;")",
"Lỗi")))))</f>
        <v>Lỗi</v>
      </c>
      <c r="AG3" s="100" t="s">
        <v>201</v>
      </c>
      <c r="AH3" s="100" t="str" cm="1">
        <f t="array" ref="AH3">_xlfn.TEXTJOIN(",
",TRUE,IF(W:W="ON",AG:AG,""))</f>
        <v>AND($AJ$6 &lt; $AJ$2,$AK$6 = $AL$2),
AND($AJ$6 &lt; $AJ$2,$AK$6 &gt; $AL$2,$AK$6 &lt; $AK$2),
AND($AJ$6 &lt; $AJ$2,$AK$6 = $AK$2),
AND($AJ$6 &lt; $AJ$2,$AK$6 &gt; $AK$2),
AND($AJ$6 = $AJ$2,$AK$6 = $AL$2),
AND($AJ$6 = $AJ$2,$AK$6 &gt; $AL$2,$AK$6 &lt; $AK$2),
AND($AJ$6 = $AJ$2,$AK$6 = $AK$2),
AND($AJ$6 = $AJ$2,$AK$6 &gt; $AK$2),
AND($AJ$6 &gt; $AJ$2,$AJ$6 &lt; $AL$2,$AK$6 &gt; $AL$2,$AK$6 &lt; $AK$2,($AK$6 - $AJ$6) &gt;=15),
AND($AJ$6 &gt; $AJ$2,$AJ$6 &lt; $AL$2,$AK$6 = $AK$2),
AND($AJ$6 &gt; $AJ$2,$AJ$6 &lt; $AL$2,$AK$6 &gt; $AK$2),
AND($AJ$6 = $AL$2,$AK$6 = $AK$2),
AND($AJ$6 = $AL$2,$AK$6 &gt; $AK$2),
AND($AJ$6 &lt; $AJ$2,$AK$6 = "31/12/2100"),
AND($AJ$6 = $AJ$2,$AK$6 = "31/12/2100"),
AND($AJ$6 &gt; $AJ$2,$AJ$6 &lt; $AL$2,$AK$6 = "31/12/2100"),
AND($AJ$6 = $AL$2,$AK$6 = "31/12/2100")</v>
      </c>
      <c r="AI3" s="101"/>
      <c r="AJ3" s="114"/>
      <c r="AK3" s="114"/>
      <c r="AL3" s="101"/>
      <c r="AO3"/>
      <c r="AP3" s="232" t="s">
        <v>144</v>
      </c>
      <c r="AQ3" s="229" t="s">
        <v>145</v>
      </c>
      <c r="AR3" s="232"/>
      <c r="AS3" s="229" t="s">
        <v>146</v>
      </c>
      <c r="AT3" s="232" t="s">
        <v>147</v>
      </c>
      <c r="AU3"/>
    </row>
    <row r="4" spans="1:47" s="113" customFormat="1" ht="15.75" customHeight="1" x14ac:dyDescent="0.25">
      <c r="A4" s="112">
        <f>ROW()-ROW($A$2)</f>
        <v>2</v>
      </c>
      <c r="B4" s="99" t="s">
        <v>148</v>
      </c>
      <c r="C4" s="99" t="s">
        <v>149</v>
      </c>
      <c r="D4" s="112"/>
      <c r="E4" s="112"/>
      <c r="F4" s="112"/>
      <c r="G4" s="112"/>
      <c r="H4" s="112"/>
      <c r="I4" s="112"/>
      <c r="J4" s="112"/>
      <c r="K4" s="112"/>
      <c r="L4" s="112"/>
      <c r="M4" s="101" t="s">
        <v>150</v>
      </c>
      <c r="N4" s="97"/>
      <c r="O4" s="97" t="s">
        <v>161</v>
      </c>
      <c r="P4" s="97" t="s">
        <v>197</v>
      </c>
      <c r="R4" s="97"/>
      <c r="U4" s="101"/>
      <c r="V4" s="101">
        <v>2</v>
      </c>
      <c r="W4" s="101" t="str">
        <f t="shared" ref="W4:W42" si="2">M4</f>
        <v>OFF</v>
      </c>
      <c r="X4" s="101"/>
      <c r="Y4" s="100" t="str">
        <f t="shared" ca="1" si="0"/>
        <v>$AJ$6 &lt; $AK$6</v>
      </c>
      <c r="Z4" s="100" t="str">
        <f t="shared" ref="Z4:Z33" ca="1" si="3">SUBSTITUTE(SUBSTITUTE(SUBSTITUTE(SUBSTITUTE(SUBSTITUTE(P4,
"Ngày đầu kỳ",$AJ$8),
"Ngày cuối kỳ",$AJ$9),
"Ngày giữa kỳ",$AJ$10),
"Ngày bắt đầu QT",$AJ$11),
"Ngày kết thúc QT",$AJ$12)</f>
        <v>$AK$6 &lt; $AJ$2</v>
      </c>
      <c r="AA4" s="100" t="str">
        <f t="shared" ref="AA4:AA33" ca="1" si="4">SUBSTITUTE(SUBSTITUTE(SUBSTITUTE(SUBSTITUTE(SUBSTITUTE(Q4,
"Ngày đầu kỳ",$AJ$8),
"Ngày cuối kỳ",$AJ$9),
"Ngày giữa kỳ",$AJ$10),
"Ngày bắt đầu QT",$AJ$11),
"Ngày kết thúc QT",$AJ$12)</f>
        <v/>
      </c>
      <c r="AB4" s="100" t="str">
        <f t="shared" ref="AB4:AB33" ca="1" si="5">SUBSTITUTE(SUBSTITUTE(SUBSTITUTE(SUBSTITUTE(SUBSTITUTE(R4,
"Ngày đầu kỳ",$AJ$8),
"Ngày cuối kỳ",$AJ$9),
"Ngày giữa kỳ",$AJ$10),
"Ngày bắt đầu QT",$AJ$11),
"Ngày kết thúc QT",$AJ$12)</f>
        <v/>
      </c>
      <c r="AC4" s="100" t="str">
        <f t="shared" ref="AC4:AC33" ca="1" si="6">SUBSTITUTE(SUBSTITUTE(SUBSTITUTE(SUBSTITUTE(SUBSTITUTE(S4,
"Ngày đầu kỳ",$AJ$8),
"Ngày cuối kỳ",$AJ$9),
"Ngày giữa kỳ",$AJ$10),
"Ngày bắt đầu QT",$AJ$11),
"Ngày kết thúc QT",$AJ$12)</f>
        <v/>
      </c>
      <c r="AD4" s="100" t="str">
        <f t="shared" ref="AD4:AD33" ca="1" si="7">SUBSTITUTE(SUBSTITUTE(SUBSTITUTE(SUBSTITUTE(SUBSTITUTE(T4,
"Ngày đầu kỳ",$AJ$8),
"Ngày cuối kỳ",$AJ$9),
"Ngày giữa kỳ",$AJ$10),
"Ngày bắt đầu QT",$AJ$11),
"Ngày kết thúc QT",$AJ$12)</f>
        <v/>
      </c>
      <c r="AE4" s="100"/>
      <c r="AF4" s="100" t="str">
        <f t="shared" ref="AF4:AF42" ca="1" si="8">IF(COUNTIF(Z4:AD4,"")=4,Z4,
IF(COUNTIF(Z4:AD4,"")=3,"AND("&amp;Z4&amp;","&amp;AA4&amp;")",
IF(COUNTIF(Z4:AD4,"")=2,"AND("&amp;Z4&amp;","&amp;AA4&amp;","&amp;AB4&amp;")",
IF(COUNTIF(Z4:AD4,"")=1,"AND("&amp;Z4&amp;","&amp;AA4&amp;","&amp;AB4&amp;","&amp;AC4&amp;")",
IF(COUNTIF(Z4:AD4,"")=0,"AND("&amp;Z4&amp;","&amp;AA4&amp;","&amp;AB4&amp;","&amp;AC4&amp;","&amp;AD4&amp;")",
"Lỗi")))))</f>
        <v>$AK$6 &lt; $AJ$2</v>
      </c>
      <c r="AG4" s="100" t="s">
        <v>202</v>
      </c>
      <c r="AH4" s="100" t="str" cm="1">
        <f t="array" ref="AH4">_xlfn.TEXTJOIN(",
",TRUE,IF((W:W="OFF")*(AG:AG&lt;&gt;"Lỗi")=1,AG:AG,""))</f>
        <v>$AK$6 &lt; $AJ$2,
AND($AJ$6 &lt; $AJ$2,$AK$6 = $AJ$2),
AND($AJ$6 &lt; $AJ$2,$AK$6 &gt; $AJ$2,$AK$6 &lt; $AL$2),
AND($AJ$6 = $AJ$2,$AK$6 &gt; $AJ$2,$AK$6 &lt; $AL$2),
AND($AJ$6 &gt; $AJ$2,$AK$6 &lt; $AL$2),
AND($AJ$6 &gt; $AJ$2,$AJ$6 &lt; $AL$2,$AK$6 = $AL$2),
AND($AJ$6 &gt; $AJ$2,$AJ$6 &lt; $AL$2,$AK$6 &gt; $AL$2,$AK$6 &lt; $AK$2,($AK$6 - $AJ$6) &lt;15),
AND($AJ$6 = $AL$2,$AK$6 &gt; $AL$2,$AK$6 &lt; $AK$2),
AND($AJ$6 &gt; $AL$2,$AK$6 &lt; $AK$2),
AND($AJ$6 &gt; $AL$2,$AJ$6 &lt; $AK$2,$AK$6 = $AK$2),
AND($AJ$6 &gt; $AL$2,$AJ$6 &lt; $AK$2,$AK$6 &gt; $AK$2),
AND($AJ$6 = $AK$2,$AK$6 &gt; $AK$2),
$AJ$6 &gt; $AK$2,
AND($AJ$6 &gt; $AL$2,$AJ$6 &lt; $AK$2,$AK$6 = "31/12/2100"),
AND($AJ$6 = $AK$2,$AK$6 = "31/12/2100"),
AND($AJ$6 &gt; $AK$2,$AK$6 = "31/12/2100")</v>
      </c>
      <c r="AI4" s="101"/>
      <c r="AJ4" s="114"/>
      <c r="AK4" s="114"/>
      <c r="AL4" s="101"/>
      <c r="AO4">
        <v>1</v>
      </c>
      <c r="AP4" s="230" t="s">
        <v>148</v>
      </c>
      <c r="AQ4" s="230"/>
      <c r="AR4" s="230"/>
      <c r="AS4" s="230"/>
      <c r="AT4" s="230"/>
      <c r="AU4" t="s">
        <v>150</v>
      </c>
    </row>
    <row r="5" spans="1:47" s="113" customFormat="1" x14ac:dyDescent="0.25">
      <c r="A5" s="112">
        <f t="shared" ref="A5:A42" si="9">ROW()-ROW($A$2)</f>
        <v>3</v>
      </c>
      <c r="B5" s="99" t="s">
        <v>148</v>
      </c>
      <c r="C5" s="99"/>
      <c r="D5" s="99" t="s">
        <v>149</v>
      </c>
      <c r="E5" s="112"/>
      <c r="F5" s="112"/>
      <c r="G5" s="112"/>
      <c r="H5" s="112"/>
      <c r="I5" s="112"/>
      <c r="J5" s="112"/>
      <c r="K5" s="112"/>
      <c r="L5" s="112"/>
      <c r="M5" s="101" t="s">
        <v>150</v>
      </c>
      <c r="N5" s="97"/>
      <c r="O5" s="97" t="s">
        <v>161</v>
      </c>
      <c r="P5" s="97" t="s">
        <v>171</v>
      </c>
      <c r="Q5" s="97" t="s">
        <v>162</v>
      </c>
      <c r="R5" s="97"/>
      <c r="U5" s="101"/>
      <c r="V5" s="101">
        <v>3</v>
      </c>
      <c r="W5" s="101" t="str">
        <f t="shared" si="2"/>
        <v>OFF</v>
      </c>
      <c r="X5" s="101"/>
      <c r="Y5" s="100" t="str">
        <f t="shared" ca="1" si="0"/>
        <v>$AJ$6 &lt; $AK$6</v>
      </c>
      <c r="Z5" s="100" t="str">
        <f t="shared" ca="1" si="3"/>
        <v>$AJ$6 &lt; $AJ$2</v>
      </c>
      <c r="AA5" s="100" t="str">
        <f t="shared" ca="1" si="4"/>
        <v>$AK$6 = $AJ$2</v>
      </c>
      <c r="AB5" s="100" t="str">
        <f t="shared" ca="1" si="5"/>
        <v/>
      </c>
      <c r="AC5" s="100" t="str">
        <f t="shared" ca="1" si="6"/>
        <v/>
      </c>
      <c r="AD5" s="100" t="str">
        <f t="shared" ca="1" si="7"/>
        <v/>
      </c>
      <c r="AE5" s="100"/>
      <c r="AF5" s="100" t="str">
        <f t="shared" ca="1" si="8"/>
        <v>AND($AJ$6 &lt; $AJ$2,$AK$6 = $AJ$2)</v>
      </c>
      <c r="AG5" s="100" t="s">
        <v>203</v>
      </c>
      <c r="AH5" s="100"/>
      <c r="AI5" s="101"/>
      <c r="AJ5" s="113" t="s">
        <v>184</v>
      </c>
      <c r="AK5" s="113" t="s">
        <v>185</v>
      </c>
      <c r="AL5" s="101"/>
      <c r="AO5">
        <v>2</v>
      </c>
      <c r="AP5" s="231"/>
      <c r="AQ5" s="230" t="s">
        <v>148</v>
      </c>
      <c r="AR5" s="230"/>
      <c r="AS5" s="230"/>
      <c r="AT5" s="230"/>
      <c r="AU5" t="s">
        <v>150</v>
      </c>
    </row>
    <row r="6" spans="1:47" s="113" customFormat="1" ht="31.5" x14ac:dyDescent="0.25">
      <c r="A6" s="112">
        <f t="shared" si="9"/>
        <v>4</v>
      </c>
      <c r="B6" s="99" t="s">
        <v>148</v>
      </c>
      <c r="C6" s="99"/>
      <c r="D6" s="99"/>
      <c r="E6" s="99" t="s">
        <v>149</v>
      </c>
      <c r="F6" s="112"/>
      <c r="G6" s="112"/>
      <c r="H6" s="112"/>
      <c r="I6" s="112"/>
      <c r="J6" s="112"/>
      <c r="K6" s="112"/>
      <c r="L6" s="112"/>
      <c r="M6" s="101" t="s">
        <v>150</v>
      </c>
      <c r="N6" s="97"/>
      <c r="O6" s="97" t="s">
        <v>161</v>
      </c>
      <c r="P6" s="97" t="s">
        <v>171</v>
      </c>
      <c r="Q6" s="97" t="s">
        <v>163</v>
      </c>
      <c r="R6" s="97" t="s">
        <v>164</v>
      </c>
      <c r="U6" s="101"/>
      <c r="V6" s="101">
        <v>4</v>
      </c>
      <c r="W6" s="101" t="str">
        <f t="shared" si="2"/>
        <v>OFF</v>
      </c>
      <c r="X6" s="101"/>
      <c r="Y6" s="100" t="str">
        <f t="shared" ca="1" si="0"/>
        <v>$AJ$6 &lt; $AK$6</v>
      </c>
      <c r="Z6" s="100" t="str">
        <f t="shared" ca="1" si="3"/>
        <v>$AJ$6 &lt; $AJ$2</v>
      </c>
      <c r="AA6" s="100" t="str">
        <f t="shared" ca="1" si="4"/>
        <v>$AK$6 &gt; $AJ$2</v>
      </c>
      <c r="AB6" s="100" t="str">
        <f t="shared" ca="1" si="5"/>
        <v>$AK$6 &lt; $AL$2</v>
      </c>
      <c r="AC6" s="100" t="str">
        <f t="shared" ca="1" si="6"/>
        <v/>
      </c>
      <c r="AD6" s="100" t="str">
        <f t="shared" ca="1" si="7"/>
        <v/>
      </c>
      <c r="AE6" s="100"/>
      <c r="AF6" s="100" t="str">
        <f t="shared" ca="1" si="8"/>
        <v>AND($AJ$6 &lt; $AJ$2,$AK$6 &gt; $AJ$2,$AK$6 &lt; $AL$2)</v>
      </c>
      <c r="AG6" s="100" t="s">
        <v>204</v>
      </c>
      <c r="AH6" s="100"/>
      <c r="AI6" s="101"/>
      <c r="AJ6" s="115">
        <v>43877</v>
      </c>
      <c r="AK6" s="115">
        <v>44043</v>
      </c>
      <c r="AL6" s="101"/>
      <c r="AO6">
        <v>3</v>
      </c>
      <c r="AP6" s="231"/>
      <c r="AQ6" s="231"/>
      <c r="AR6" s="230" t="s">
        <v>148</v>
      </c>
      <c r="AS6" s="230"/>
      <c r="AT6" s="230"/>
      <c r="AU6" t="s">
        <v>151</v>
      </c>
    </row>
    <row r="7" spans="1:47" s="113" customFormat="1" x14ac:dyDescent="0.25">
      <c r="A7" s="112">
        <f t="shared" si="9"/>
        <v>5</v>
      </c>
      <c r="B7" s="99" t="s">
        <v>148</v>
      </c>
      <c r="C7" s="99"/>
      <c r="D7" s="99"/>
      <c r="E7" s="99"/>
      <c r="F7" s="99"/>
      <c r="G7" s="99" t="s">
        <v>149</v>
      </c>
      <c r="H7" s="112"/>
      <c r="I7" s="112"/>
      <c r="J7" s="112"/>
      <c r="K7" s="112"/>
      <c r="L7" s="112"/>
      <c r="M7" s="101" t="s">
        <v>151</v>
      </c>
      <c r="N7" s="97"/>
      <c r="O7" s="97" t="s">
        <v>161</v>
      </c>
      <c r="P7" s="97" t="s">
        <v>171</v>
      </c>
      <c r="Q7" s="97" t="s">
        <v>165</v>
      </c>
      <c r="R7" s="97"/>
      <c r="U7" s="101"/>
      <c r="V7" s="101">
        <v>18</v>
      </c>
      <c r="W7" s="101" t="str">
        <f t="shared" si="2"/>
        <v>ON</v>
      </c>
      <c r="X7" s="101"/>
      <c r="Y7" s="100" t="str">
        <f t="shared" ca="1" si="0"/>
        <v>$AJ$6 &lt; $AK$6</v>
      </c>
      <c r="Z7" s="100" t="str">
        <f t="shared" ca="1" si="3"/>
        <v>$AJ$6 &lt; $AJ$2</v>
      </c>
      <c r="AA7" s="100" t="str">
        <f t="shared" ca="1" si="4"/>
        <v>$AK$6 = $AL$2</v>
      </c>
      <c r="AB7" s="100" t="str">
        <f t="shared" ca="1" si="5"/>
        <v/>
      </c>
      <c r="AC7" s="100" t="str">
        <f t="shared" ca="1" si="6"/>
        <v/>
      </c>
      <c r="AD7" s="100" t="str">
        <f t="shared" ca="1" si="7"/>
        <v/>
      </c>
      <c r="AE7" s="100"/>
      <c r="AF7" s="100" t="str">
        <f t="shared" ca="1" si="8"/>
        <v>AND($AJ$6 &lt; $AJ$2,$AK$6 = $AL$2)</v>
      </c>
      <c r="AG7" s="100" t="s">
        <v>205</v>
      </c>
      <c r="AH7" s="101"/>
      <c r="AI7" s="101"/>
      <c r="AJ7" s="101"/>
      <c r="AK7" s="101"/>
      <c r="AL7" s="101"/>
      <c r="AO7">
        <v>4</v>
      </c>
      <c r="AP7" s="231"/>
      <c r="AQ7" s="231"/>
      <c r="AR7" s="231"/>
      <c r="AS7" s="230" t="s">
        <v>148</v>
      </c>
      <c r="AT7" s="230"/>
      <c r="AU7" t="s">
        <v>151</v>
      </c>
    </row>
    <row r="8" spans="1:47" s="113" customFormat="1" ht="31.5" x14ac:dyDescent="0.25">
      <c r="A8" s="112">
        <f t="shared" si="9"/>
        <v>6</v>
      </c>
      <c r="B8" s="99" t="s">
        <v>148</v>
      </c>
      <c r="C8" s="99"/>
      <c r="D8" s="99"/>
      <c r="E8" s="99"/>
      <c r="F8" s="99"/>
      <c r="G8" s="99"/>
      <c r="H8" s="99" t="s">
        <v>149</v>
      </c>
      <c r="I8" s="99"/>
      <c r="J8" s="112"/>
      <c r="K8" s="112"/>
      <c r="L8" s="112"/>
      <c r="M8" s="101" t="s">
        <v>151</v>
      </c>
      <c r="N8" s="97"/>
      <c r="O8" s="97" t="s">
        <v>161</v>
      </c>
      <c r="P8" s="97" t="s">
        <v>171</v>
      </c>
      <c r="Q8" s="97" t="s">
        <v>166</v>
      </c>
      <c r="R8" s="97" t="s">
        <v>167</v>
      </c>
      <c r="U8" s="101"/>
      <c r="V8" s="101">
        <v>19</v>
      </c>
      <c r="W8" s="101" t="str">
        <f t="shared" si="2"/>
        <v>ON</v>
      </c>
      <c r="X8" s="101"/>
      <c r="Y8" s="100" t="str">
        <f t="shared" ca="1" si="0"/>
        <v>$AJ$6 &lt; $AK$6</v>
      </c>
      <c r="Z8" s="100" t="str">
        <f t="shared" ca="1" si="3"/>
        <v>$AJ$6 &lt; $AJ$2</v>
      </c>
      <c r="AA8" s="100" t="str">
        <f t="shared" ca="1" si="4"/>
        <v>$AK$6 &gt; $AL$2</v>
      </c>
      <c r="AB8" s="100" t="str">
        <f t="shared" ca="1" si="5"/>
        <v>$AK$6 &lt; $AK$2</v>
      </c>
      <c r="AC8" s="100" t="str">
        <f t="shared" ca="1" si="6"/>
        <v/>
      </c>
      <c r="AD8" s="100" t="str">
        <f t="shared" ca="1" si="7"/>
        <v/>
      </c>
      <c r="AE8" s="100"/>
      <c r="AF8" s="100" t="str">
        <f t="shared" ca="1" si="8"/>
        <v>AND($AJ$6 &lt; $AJ$2,$AK$6 &gt; $AL$2,$AK$6 &lt; $AK$2)</v>
      </c>
      <c r="AG8" s="100" t="s">
        <v>206</v>
      </c>
      <c r="AH8" s="100"/>
      <c r="AI8" s="101" t="s">
        <v>188</v>
      </c>
      <c r="AJ8" s="101" t="str">
        <f ca="1">CELL("address",AJ2)</f>
        <v>$AJ$2</v>
      </c>
      <c r="AK8" s="101"/>
      <c r="AL8" s="101" t="s">
        <v>121</v>
      </c>
      <c r="AO8">
        <v>5</v>
      </c>
      <c r="AP8" s="231"/>
      <c r="AQ8" s="231"/>
      <c r="AR8" s="231"/>
      <c r="AS8" s="231"/>
      <c r="AT8" s="230" t="s">
        <v>148</v>
      </c>
      <c r="AU8" t="s">
        <v>151</v>
      </c>
    </row>
    <row r="9" spans="1:47" s="113" customFormat="1" x14ac:dyDescent="0.25">
      <c r="A9" s="112">
        <f t="shared" si="9"/>
        <v>7</v>
      </c>
      <c r="B9" s="99" t="s">
        <v>148</v>
      </c>
      <c r="C9" s="99"/>
      <c r="D9" s="99"/>
      <c r="E9" s="99"/>
      <c r="F9" s="99"/>
      <c r="G9" s="99"/>
      <c r="H9" s="99"/>
      <c r="I9" s="99"/>
      <c r="J9" s="99" t="s">
        <v>149</v>
      </c>
      <c r="K9" s="112"/>
      <c r="L9" s="112"/>
      <c r="M9" s="101" t="s">
        <v>151</v>
      </c>
      <c r="N9" s="97"/>
      <c r="O9" s="97" t="s">
        <v>161</v>
      </c>
      <c r="P9" s="97" t="s">
        <v>171</v>
      </c>
      <c r="Q9" s="97" t="s">
        <v>168</v>
      </c>
      <c r="R9" s="97"/>
      <c r="U9" s="101"/>
      <c r="V9" s="101">
        <v>20</v>
      </c>
      <c r="W9" s="101" t="str">
        <f t="shared" si="2"/>
        <v>ON</v>
      </c>
      <c r="X9" s="101"/>
      <c r="Y9" s="100" t="str">
        <f t="shared" ca="1" si="0"/>
        <v>$AJ$6 &lt; $AK$6</v>
      </c>
      <c r="Z9" s="100" t="str">
        <f t="shared" ca="1" si="3"/>
        <v>$AJ$6 &lt; $AJ$2</v>
      </c>
      <c r="AA9" s="100" t="str">
        <f t="shared" ca="1" si="4"/>
        <v>$AK$6 = $AK$2</v>
      </c>
      <c r="AB9" s="100" t="str">
        <f t="shared" ca="1" si="5"/>
        <v/>
      </c>
      <c r="AC9" s="100" t="str">
        <f t="shared" ca="1" si="6"/>
        <v/>
      </c>
      <c r="AD9" s="100" t="str">
        <f t="shared" ca="1" si="7"/>
        <v/>
      </c>
      <c r="AE9" s="100"/>
      <c r="AF9" s="100" t="str">
        <f t="shared" ca="1" si="8"/>
        <v>AND($AJ$6 &lt; $AJ$2,$AK$6 = $AK$2)</v>
      </c>
      <c r="AG9" s="100" t="s">
        <v>207</v>
      </c>
      <c r="AH9" s="100"/>
      <c r="AI9" s="101" t="s">
        <v>189</v>
      </c>
      <c r="AJ9" s="101" t="str">
        <f ca="1">CELL("address",AK2)</f>
        <v>$AK$2</v>
      </c>
      <c r="AK9" s="101"/>
      <c r="AL9" s="116" t="str">
        <f>IF($AJ$6 &gt; $AK$6,"Lỗi nhập ngày",
IF($AJ$6 = $AK$6,"OFF",
IF(OR(
$AK$6 &lt; $AJ$2,
AND($AJ$6 &lt; $AJ$2,$AK$6 = $AJ$2),
AND($AJ$6 &lt; $AJ$2,$AK$6 &gt; $AJ$2,$AK$6 &lt; $AL$2),
AND($AJ$6 = $AJ$2,$AK$6 &gt; $AJ$2,$AK$6 &lt; $AL$2),
AND($AJ$6 &gt; $AJ$2,$AK$6 &lt; $AL$2),
AND($AJ$6 &gt; $AJ$2,$AJ$6 &lt; $AL$2,$AK$6 = $AL$2),
AND($AJ$6 &gt; $AJ$2,$AJ$6 &lt; $AL$2,$AK$6 &gt; $AL$2,$AK$6 &lt; $AK$2,($AK$6 - $AJ$6) &lt;15),
AND($AJ$6 = $AL$2,$AK$6 &gt; $AL$2,$AK$6 &lt; $AK$2),
AND($AJ$6 &gt; $AL$2,$AK$6 &lt; $AK$2),
AND($AJ$6 &gt; $AL$2,$AJ$6 &lt; $AK$2,$AK$6 = $AK$2),
AND($AJ$6 &gt; $AL$2,$AJ$6 &lt; $AK$2,$AK$6 &gt; $AK$2),
AND($AJ$6 = $AK$2,$AK$6 &gt; $AK$2),
$AJ$6 &gt; $AK$2,
AND($AJ$6 &gt; $AL$2,$AJ$6 &lt; $AK$2,$AK$6 = "31/12/2100"),
AND($AJ$6 = $AK$2,$AK$6 = "31/12/2100"),
AND($AJ$6 &gt; $AK$2,$AK$6 = "31/12/2100")),"OFF",
IF(OR(
AND($AJ$6 &lt; $AJ$2,$AK$6 = $AL$2),
AND($AJ$6 &lt; $AJ$2,$AK$6 &gt; $AL$2,$AK$6 &lt; $AK$2),
AND($AJ$6 &lt; $AJ$2,$AK$6 = $AK$2),
AND($AJ$6 &lt; $AJ$2,$AK$6 &gt; $AK$2),
AND($AJ$6 = $AJ$2,$AK$6 = $AL$2),
AND($AJ$6 = $AJ$2,$AK$6 &gt; $AL$2,$AK$6 &lt; $AK$2),
AND($AJ$6 = $AJ$2,$AK$6 = $AK$2),
AND($AJ$6 = $AJ$2,$AK$6 &gt; $AK$2),
AND($AJ$6 &gt; $AJ$2,$AJ$6 &lt; $AL$2,$AK$6 &gt; $AL$2,$AK$6 &lt; $AK$2,($AK$6 - $AJ$6) &gt;=15),
AND($AJ$6 &gt; $AJ$2,$AJ$6 &lt; $AL$2,$AK$6 = $AK$2),
AND($AJ$6 &gt; $AJ$2,$AJ$6 &lt; $AL$2,$AK$6 &gt; $AK$2),
AND($AJ$6 = $AL$2,$AK$6 = $AK$2),
AND($AJ$6 = $AL$2,$AK$6 &gt; $AK$2),
AND($AJ$6 &lt; $AJ$2,$AK$6 = "31/12/2100"),
AND($AJ$6 = $AJ$2,$AK$6 = "31/12/2100"),
AND($AJ$6 &gt; $AJ$2,$AJ$6 &lt; $AL$2,$AK$6 = "31/12/2100"),
AND($AJ$6 = $AL$2,$AK$6 = "31/12/2100")),
"ON","Lỗi"))))</f>
        <v>OFF</v>
      </c>
    </row>
    <row r="10" spans="1:47" s="113" customFormat="1" x14ac:dyDescent="0.25">
      <c r="A10" s="112">
        <f t="shared" si="9"/>
        <v>8</v>
      </c>
      <c r="B10" s="99" t="s">
        <v>148</v>
      </c>
      <c r="C10" s="99"/>
      <c r="D10" s="99"/>
      <c r="E10" s="99"/>
      <c r="F10" s="99"/>
      <c r="G10" s="99"/>
      <c r="H10" s="99"/>
      <c r="I10" s="99"/>
      <c r="J10" s="99"/>
      <c r="K10" s="99" t="s">
        <v>149</v>
      </c>
      <c r="L10" s="99"/>
      <c r="M10" s="101" t="s">
        <v>151</v>
      </c>
      <c r="N10" s="97"/>
      <c r="O10" s="97" t="s">
        <v>161</v>
      </c>
      <c r="P10" s="97" t="s">
        <v>171</v>
      </c>
      <c r="Q10" s="97" t="s">
        <v>169</v>
      </c>
      <c r="R10" s="97"/>
      <c r="U10" s="100"/>
      <c r="V10" s="100">
        <v>21</v>
      </c>
      <c r="W10" s="101" t="str">
        <f t="shared" si="2"/>
        <v>ON</v>
      </c>
      <c r="X10" s="101"/>
      <c r="Y10" s="100" t="str">
        <f t="shared" ca="1" si="0"/>
        <v>$AJ$6 &lt; $AK$6</v>
      </c>
      <c r="Z10" s="100" t="str">
        <f t="shared" ca="1" si="3"/>
        <v>$AJ$6 &lt; $AJ$2</v>
      </c>
      <c r="AA10" s="100" t="str">
        <f t="shared" ca="1" si="4"/>
        <v>$AK$6 &gt; $AK$2</v>
      </c>
      <c r="AB10" s="100" t="str">
        <f t="shared" ca="1" si="5"/>
        <v/>
      </c>
      <c r="AC10" s="100" t="str">
        <f t="shared" ca="1" si="6"/>
        <v/>
      </c>
      <c r="AD10" s="100" t="str">
        <f t="shared" ca="1" si="7"/>
        <v/>
      </c>
      <c r="AE10" s="100"/>
      <c r="AF10" s="100" t="str">
        <f t="shared" ca="1" si="8"/>
        <v>AND($AJ$6 &lt; $AJ$2,$AK$6 &gt; $AK$2)</v>
      </c>
      <c r="AG10" s="100" t="s">
        <v>208</v>
      </c>
      <c r="AH10" s="100"/>
      <c r="AI10" s="100" t="s">
        <v>190</v>
      </c>
      <c r="AJ10" s="100" t="str">
        <f ca="1">CELL("address",AL2)</f>
        <v>$AL$2</v>
      </c>
      <c r="AK10" s="100"/>
      <c r="AL10" s="101"/>
      <c r="AP10" s="113" t="s">
        <v>297</v>
      </c>
    </row>
    <row r="11" spans="1:47" s="113" customFormat="1" x14ac:dyDescent="0.25">
      <c r="A11" s="112">
        <f t="shared" si="9"/>
        <v>9</v>
      </c>
      <c r="B11" s="112"/>
      <c r="C11" s="112"/>
      <c r="D11" s="99" t="s">
        <v>154</v>
      </c>
      <c r="E11" s="112"/>
      <c r="F11" s="112"/>
      <c r="G11" s="112"/>
      <c r="H11" s="112"/>
      <c r="I11" s="112"/>
      <c r="J11" s="112"/>
      <c r="K11" s="112"/>
      <c r="L11" s="112"/>
      <c r="M11" s="101" t="s">
        <v>150</v>
      </c>
      <c r="N11" s="97"/>
      <c r="O11" s="97" t="s">
        <v>160</v>
      </c>
      <c r="P11" s="97"/>
      <c r="Q11" s="97"/>
      <c r="R11" s="97"/>
      <c r="U11" s="100"/>
      <c r="V11" s="101">
        <v>1</v>
      </c>
      <c r="W11" s="101" t="str">
        <f t="shared" si="2"/>
        <v>OFF</v>
      </c>
      <c r="X11" s="101"/>
      <c r="Y11" s="100" t="str">
        <f t="shared" ca="1" si="0"/>
        <v>$AJ$6 = $AK$6</v>
      </c>
      <c r="Z11" s="100" t="str">
        <f t="shared" ca="1" si="3"/>
        <v/>
      </c>
      <c r="AA11" s="100" t="str">
        <f t="shared" ca="1" si="4"/>
        <v/>
      </c>
      <c r="AB11" s="100" t="str">
        <f t="shared" ca="1" si="5"/>
        <v/>
      </c>
      <c r="AC11" s="100" t="str">
        <f t="shared" ca="1" si="6"/>
        <v/>
      </c>
      <c r="AD11" s="100" t="str">
        <f t="shared" ca="1" si="7"/>
        <v/>
      </c>
      <c r="AE11" s="100"/>
      <c r="AF11" s="100" t="str">
        <f t="shared" ca="1" si="8"/>
        <v>Lỗi</v>
      </c>
      <c r="AG11" s="100" t="s">
        <v>201</v>
      </c>
      <c r="AH11" s="100"/>
      <c r="AI11" s="100" t="s">
        <v>184</v>
      </c>
      <c r="AJ11" s="100" t="str">
        <f ca="1">CELL("address",AJ6)</f>
        <v>$AJ$6</v>
      </c>
      <c r="AK11" s="100"/>
      <c r="AL11" s="101"/>
      <c r="AP11" s="113" t="s">
        <v>298</v>
      </c>
    </row>
    <row r="12" spans="1:47" s="113" customFormat="1" ht="31.5" x14ac:dyDescent="0.25">
      <c r="A12" s="112">
        <f t="shared" si="9"/>
        <v>10</v>
      </c>
      <c r="B12" s="112"/>
      <c r="C12" s="112"/>
      <c r="D12" s="99" t="s">
        <v>148</v>
      </c>
      <c r="E12" s="99" t="s">
        <v>149</v>
      </c>
      <c r="F12" s="99"/>
      <c r="G12" s="112"/>
      <c r="H12" s="112"/>
      <c r="I12" s="112"/>
      <c r="J12" s="112"/>
      <c r="K12" s="112"/>
      <c r="L12" s="112"/>
      <c r="M12" s="101" t="s">
        <v>150</v>
      </c>
      <c r="N12" s="97"/>
      <c r="O12" s="97" t="s">
        <v>161</v>
      </c>
      <c r="P12" s="97" t="s">
        <v>172</v>
      </c>
      <c r="Q12" s="97" t="s">
        <v>163</v>
      </c>
      <c r="R12" s="97" t="s">
        <v>164</v>
      </c>
      <c r="U12" s="100"/>
      <c r="V12" s="100">
        <v>5</v>
      </c>
      <c r="W12" s="101" t="str">
        <f t="shared" si="2"/>
        <v>OFF</v>
      </c>
      <c r="X12" s="101"/>
      <c r="Y12" s="100" t="str">
        <f t="shared" ca="1" si="0"/>
        <v>$AJ$6 &lt; $AK$6</v>
      </c>
      <c r="Z12" s="100" t="str">
        <f t="shared" ca="1" si="3"/>
        <v>$AJ$6 = $AJ$2</v>
      </c>
      <c r="AA12" s="100" t="str">
        <f t="shared" ca="1" si="4"/>
        <v>$AK$6 &gt; $AJ$2</v>
      </c>
      <c r="AB12" s="100" t="str">
        <f t="shared" ca="1" si="5"/>
        <v>$AK$6 &lt; $AL$2</v>
      </c>
      <c r="AC12" s="100" t="str">
        <f t="shared" ca="1" si="6"/>
        <v/>
      </c>
      <c r="AD12" s="100" t="str">
        <f t="shared" ca="1" si="7"/>
        <v/>
      </c>
      <c r="AE12" s="100"/>
      <c r="AF12" s="100" t="str">
        <f t="shared" ca="1" si="8"/>
        <v>AND($AJ$6 = $AJ$2,$AK$6 &gt; $AJ$2,$AK$6 &lt; $AL$2)</v>
      </c>
      <c r="AG12" s="100" t="s">
        <v>209</v>
      </c>
      <c r="AH12" s="100"/>
      <c r="AI12" s="100" t="s">
        <v>185</v>
      </c>
      <c r="AJ12" s="100" t="str">
        <f ca="1">CELL("address",AK6)</f>
        <v>$AK$6</v>
      </c>
      <c r="AK12" s="100"/>
      <c r="AL12" s="101"/>
    </row>
    <row r="13" spans="1:47" s="113" customFormat="1" x14ac:dyDescent="0.25">
      <c r="A13" s="112">
        <f t="shared" si="9"/>
        <v>11</v>
      </c>
      <c r="B13" s="112"/>
      <c r="C13" s="112"/>
      <c r="D13" s="99" t="s">
        <v>148</v>
      </c>
      <c r="E13" s="99"/>
      <c r="F13" s="99"/>
      <c r="G13" s="99" t="s">
        <v>149</v>
      </c>
      <c r="H13" s="112"/>
      <c r="I13" s="112"/>
      <c r="J13" s="112"/>
      <c r="K13" s="112"/>
      <c r="L13" s="112"/>
      <c r="M13" s="101" t="s">
        <v>151</v>
      </c>
      <c r="N13" s="97"/>
      <c r="O13" s="97" t="s">
        <v>161</v>
      </c>
      <c r="P13" s="97" t="s">
        <v>172</v>
      </c>
      <c r="Q13" s="97" t="s">
        <v>165</v>
      </c>
      <c r="R13" s="97"/>
      <c r="U13" s="100"/>
      <c r="V13" s="100">
        <v>22</v>
      </c>
      <c r="W13" s="101" t="str">
        <f t="shared" si="2"/>
        <v>ON</v>
      </c>
      <c r="X13" s="101"/>
      <c r="Y13" s="100" t="str">
        <f t="shared" ca="1" si="0"/>
        <v>$AJ$6 &lt; $AK$6</v>
      </c>
      <c r="Z13" s="100" t="str">
        <f ca="1">SUBSTITUTE(SUBSTITUTE(SUBSTITUTE(SUBSTITUTE(SUBSTITUTE(P13,
"Ngày đầu kỳ",$AJ$8),
"Ngày cuối kỳ",$AJ$9),
"Ngày giữa kỳ",$AJ$10),
"Ngày bắt đầu QT",$AJ$11),
"Ngày kết thúc QT",$AJ$12)</f>
        <v>$AJ$6 = $AJ$2</v>
      </c>
      <c r="AA13" s="100" t="str">
        <f t="shared" ca="1" si="4"/>
        <v>$AK$6 = $AL$2</v>
      </c>
      <c r="AB13" s="100" t="str">
        <f t="shared" ca="1" si="5"/>
        <v/>
      </c>
      <c r="AC13" s="100" t="str">
        <f t="shared" ca="1" si="6"/>
        <v/>
      </c>
      <c r="AD13" s="100" t="str">
        <f t="shared" ca="1" si="7"/>
        <v/>
      </c>
      <c r="AE13" s="100"/>
      <c r="AF13" s="100" t="str">
        <f t="shared" ca="1" si="8"/>
        <v>AND($AJ$6 = $AJ$2,$AK$6 = $AL$2)</v>
      </c>
      <c r="AG13" s="100" t="s">
        <v>210</v>
      </c>
      <c r="AH13" s="100"/>
      <c r="AK13" s="100"/>
      <c r="AL13" s="101"/>
    </row>
    <row r="14" spans="1:47" s="113" customFormat="1" ht="31.5" x14ac:dyDescent="0.25">
      <c r="A14" s="112">
        <f t="shared" si="9"/>
        <v>12</v>
      </c>
      <c r="B14" s="112"/>
      <c r="C14" s="112"/>
      <c r="D14" s="99" t="s">
        <v>148</v>
      </c>
      <c r="E14" s="99"/>
      <c r="F14" s="99"/>
      <c r="G14" s="99"/>
      <c r="H14" s="99" t="s">
        <v>149</v>
      </c>
      <c r="I14" s="99"/>
      <c r="J14" s="112"/>
      <c r="K14" s="112"/>
      <c r="L14" s="112"/>
      <c r="M14" s="101" t="s">
        <v>151</v>
      </c>
      <c r="N14" s="97"/>
      <c r="O14" s="97" t="s">
        <v>161</v>
      </c>
      <c r="P14" s="97" t="s">
        <v>172</v>
      </c>
      <c r="Q14" s="97" t="s">
        <v>166</v>
      </c>
      <c r="R14" s="97" t="s">
        <v>167</v>
      </c>
      <c r="U14" s="100"/>
      <c r="V14" s="100">
        <v>23</v>
      </c>
      <c r="W14" s="101" t="str">
        <f t="shared" si="2"/>
        <v>ON</v>
      </c>
      <c r="X14" s="101"/>
      <c r="Y14" s="100" t="str">
        <f t="shared" ca="1" si="0"/>
        <v>$AJ$6 &lt; $AK$6</v>
      </c>
      <c r="Z14" s="100" t="str">
        <f t="shared" ca="1" si="3"/>
        <v>$AJ$6 = $AJ$2</v>
      </c>
      <c r="AA14" s="100" t="str">
        <f t="shared" ca="1" si="4"/>
        <v>$AK$6 &gt; $AL$2</v>
      </c>
      <c r="AB14" s="100" t="str">
        <f t="shared" ca="1" si="5"/>
        <v>$AK$6 &lt; $AK$2</v>
      </c>
      <c r="AC14" s="100" t="str">
        <f t="shared" ca="1" si="6"/>
        <v/>
      </c>
      <c r="AD14" s="100" t="str">
        <f t="shared" ca="1" si="7"/>
        <v/>
      </c>
      <c r="AE14" s="100"/>
      <c r="AF14" s="100" t="str">
        <f t="shared" ca="1" si="8"/>
        <v>AND($AJ$6 = $AJ$2,$AK$6 &gt; $AL$2,$AK$6 &lt; $AK$2)</v>
      </c>
      <c r="AG14" s="100" t="s">
        <v>211</v>
      </c>
      <c r="AH14" s="100"/>
      <c r="AK14" s="100"/>
      <c r="AL14" s="101"/>
    </row>
    <row r="15" spans="1:47" s="113" customFormat="1" x14ac:dyDescent="0.25">
      <c r="A15" s="112">
        <f t="shared" si="9"/>
        <v>13</v>
      </c>
      <c r="B15" s="112"/>
      <c r="C15" s="112"/>
      <c r="D15" s="99" t="s">
        <v>148</v>
      </c>
      <c r="E15" s="99"/>
      <c r="F15" s="99"/>
      <c r="G15" s="99"/>
      <c r="H15" s="99"/>
      <c r="I15" s="99"/>
      <c r="J15" s="99" t="s">
        <v>149</v>
      </c>
      <c r="K15" s="112"/>
      <c r="L15" s="112"/>
      <c r="M15" s="101" t="s">
        <v>151</v>
      </c>
      <c r="N15" s="97"/>
      <c r="O15" s="97" t="s">
        <v>161</v>
      </c>
      <c r="P15" s="97" t="s">
        <v>172</v>
      </c>
      <c r="Q15" s="97" t="s">
        <v>168</v>
      </c>
      <c r="U15" s="100"/>
      <c r="V15" s="100">
        <v>24</v>
      </c>
      <c r="W15" s="101" t="str">
        <f t="shared" si="2"/>
        <v>ON</v>
      </c>
      <c r="X15" s="101"/>
      <c r="Y15" s="100" t="str">
        <f t="shared" ca="1" si="0"/>
        <v>$AJ$6 &lt; $AK$6</v>
      </c>
      <c r="Z15" s="100" t="str">
        <f t="shared" ca="1" si="3"/>
        <v>$AJ$6 = $AJ$2</v>
      </c>
      <c r="AA15" s="100" t="str">
        <f t="shared" ca="1" si="4"/>
        <v>$AK$6 = $AK$2</v>
      </c>
      <c r="AB15" s="100" t="str">
        <f t="shared" ca="1" si="5"/>
        <v/>
      </c>
      <c r="AC15" s="100" t="str">
        <f t="shared" ca="1" si="6"/>
        <v/>
      </c>
      <c r="AD15" s="100" t="str">
        <f t="shared" ca="1" si="7"/>
        <v/>
      </c>
      <c r="AE15" s="100"/>
      <c r="AF15" s="100" t="str">
        <f t="shared" ca="1" si="8"/>
        <v>AND($AJ$6 = $AJ$2,$AK$6 = $AK$2)</v>
      </c>
      <c r="AG15" s="100" t="s">
        <v>212</v>
      </c>
      <c r="AH15" s="100"/>
      <c r="AK15" s="100"/>
      <c r="AL15" s="101"/>
    </row>
    <row r="16" spans="1:47" s="113" customFormat="1" x14ac:dyDescent="0.25">
      <c r="A16" s="112">
        <f t="shared" si="9"/>
        <v>14</v>
      </c>
      <c r="B16" s="112"/>
      <c r="C16" s="112"/>
      <c r="D16" s="99" t="s">
        <v>148</v>
      </c>
      <c r="E16" s="99"/>
      <c r="F16" s="99"/>
      <c r="G16" s="99"/>
      <c r="H16" s="99"/>
      <c r="I16" s="99"/>
      <c r="J16" s="99"/>
      <c r="K16" s="99" t="s">
        <v>149</v>
      </c>
      <c r="L16" s="99"/>
      <c r="M16" s="101" t="s">
        <v>151</v>
      </c>
      <c r="N16" s="97"/>
      <c r="O16" s="97" t="s">
        <v>161</v>
      </c>
      <c r="P16" s="97" t="s">
        <v>172</v>
      </c>
      <c r="Q16" s="97" t="s">
        <v>169</v>
      </c>
      <c r="U16" s="100"/>
      <c r="V16" s="100">
        <v>25</v>
      </c>
      <c r="W16" s="101" t="str">
        <f t="shared" si="2"/>
        <v>ON</v>
      </c>
      <c r="X16" s="101"/>
      <c r="Y16" s="100" t="str">
        <f t="shared" ca="1" si="0"/>
        <v>$AJ$6 &lt; $AK$6</v>
      </c>
      <c r="Z16" s="100" t="str">
        <f t="shared" ca="1" si="3"/>
        <v>$AJ$6 = $AJ$2</v>
      </c>
      <c r="AA16" s="100" t="str">
        <f t="shared" ca="1" si="4"/>
        <v>$AK$6 &gt; $AK$2</v>
      </c>
      <c r="AB16" s="100" t="str">
        <f t="shared" ca="1" si="5"/>
        <v/>
      </c>
      <c r="AC16" s="100" t="str">
        <f t="shared" ca="1" si="6"/>
        <v/>
      </c>
      <c r="AD16" s="100" t="str">
        <f t="shared" ca="1" si="7"/>
        <v/>
      </c>
      <c r="AE16" s="100"/>
      <c r="AF16" s="100" t="str">
        <f t="shared" ca="1" si="8"/>
        <v>AND($AJ$6 = $AJ$2,$AK$6 &gt; $AK$2)</v>
      </c>
      <c r="AG16" s="100" t="s">
        <v>213</v>
      </c>
      <c r="AH16" s="100"/>
      <c r="AI16" s="100"/>
      <c r="AJ16" s="100"/>
      <c r="AK16" s="100"/>
      <c r="AL16" s="101"/>
    </row>
    <row r="17" spans="1:38" s="113" customFormat="1" x14ac:dyDescent="0.25">
      <c r="A17" s="112">
        <f t="shared" si="9"/>
        <v>15</v>
      </c>
      <c r="B17" s="112"/>
      <c r="C17" s="112"/>
      <c r="D17" s="112"/>
      <c r="E17" s="99" t="s">
        <v>154</v>
      </c>
      <c r="F17" s="99"/>
      <c r="G17" s="112"/>
      <c r="H17" s="112"/>
      <c r="I17" s="112"/>
      <c r="J17" s="112"/>
      <c r="K17" s="112"/>
      <c r="L17" s="112"/>
      <c r="M17" s="101" t="s">
        <v>150</v>
      </c>
      <c r="N17" s="97"/>
      <c r="O17" s="97" t="s">
        <v>160</v>
      </c>
      <c r="P17" s="97"/>
      <c r="Q17" s="97"/>
      <c r="R17" s="97"/>
      <c r="U17" s="100"/>
      <c r="V17" s="101">
        <v>1</v>
      </c>
      <c r="W17" s="101" t="str">
        <f t="shared" si="2"/>
        <v>OFF</v>
      </c>
      <c r="X17" s="101"/>
      <c r="Y17" s="100" t="str">
        <f t="shared" ca="1" si="0"/>
        <v>$AJ$6 = $AK$6</v>
      </c>
      <c r="Z17" s="100" t="str">
        <f t="shared" ca="1" si="3"/>
        <v/>
      </c>
      <c r="AA17" s="100" t="str">
        <f t="shared" ca="1" si="4"/>
        <v/>
      </c>
      <c r="AB17" s="100" t="str">
        <f t="shared" ca="1" si="5"/>
        <v/>
      </c>
      <c r="AC17" s="100" t="str">
        <f t="shared" ca="1" si="6"/>
        <v/>
      </c>
      <c r="AD17" s="100" t="str">
        <f t="shared" ca="1" si="7"/>
        <v/>
      </c>
      <c r="AE17" s="100"/>
      <c r="AF17" s="100" t="str">
        <f t="shared" ca="1" si="8"/>
        <v>Lỗi</v>
      </c>
      <c r="AG17" s="100" t="s">
        <v>201</v>
      </c>
      <c r="AH17" s="100"/>
      <c r="AI17" s="100"/>
      <c r="AJ17" s="100"/>
      <c r="AK17" s="100"/>
      <c r="AL17" s="101"/>
    </row>
    <row r="18" spans="1:38" s="113" customFormat="1" x14ac:dyDescent="0.25">
      <c r="A18" s="112">
        <f t="shared" si="9"/>
        <v>16</v>
      </c>
      <c r="B18" s="112"/>
      <c r="C18" s="112"/>
      <c r="D18" s="112"/>
      <c r="E18" s="99" t="s">
        <v>148</v>
      </c>
      <c r="F18" s="99" t="s">
        <v>149</v>
      </c>
      <c r="G18" s="112"/>
      <c r="H18" s="112"/>
      <c r="I18" s="112"/>
      <c r="J18" s="112"/>
      <c r="K18" s="112"/>
      <c r="L18" s="112"/>
      <c r="M18" s="101" t="s">
        <v>150</v>
      </c>
      <c r="N18" s="97"/>
      <c r="O18" s="97" t="s">
        <v>161</v>
      </c>
      <c r="P18" s="97" t="s">
        <v>173</v>
      </c>
      <c r="Q18" s="97" t="s">
        <v>164</v>
      </c>
      <c r="R18" s="97"/>
      <c r="U18" s="100"/>
      <c r="V18" s="101">
        <v>6</v>
      </c>
      <c r="W18" s="101" t="str">
        <f t="shared" si="2"/>
        <v>OFF</v>
      </c>
      <c r="X18" s="101"/>
      <c r="Y18" s="100" t="str">
        <f t="shared" ca="1" si="0"/>
        <v>$AJ$6 &lt; $AK$6</v>
      </c>
      <c r="Z18" s="100" t="str">
        <f t="shared" ca="1" si="3"/>
        <v>$AJ$6 &gt; $AJ$2</v>
      </c>
      <c r="AA18" s="100" t="str">
        <f t="shared" ca="1" si="4"/>
        <v>$AK$6 &lt; $AL$2</v>
      </c>
      <c r="AB18" s="100" t="str">
        <f t="shared" ca="1" si="5"/>
        <v/>
      </c>
      <c r="AC18" s="100" t="str">
        <f t="shared" ca="1" si="6"/>
        <v/>
      </c>
      <c r="AD18" s="100" t="str">
        <f t="shared" ca="1" si="7"/>
        <v/>
      </c>
      <c r="AE18" s="100"/>
      <c r="AF18" s="100" t="str">
        <f t="shared" ca="1" si="8"/>
        <v>AND($AJ$6 &gt; $AJ$2,$AK$6 &lt; $AL$2)</v>
      </c>
      <c r="AG18" s="100" t="s">
        <v>214</v>
      </c>
      <c r="AH18" s="100"/>
      <c r="AI18" s="100"/>
      <c r="AJ18" s="100"/>
      <c r="AK18" s="100"/>
      <c r="AL18" s="101"/>
    </row>
    <row r="19" spans="1:38" s="113" customFormat="1" ht="31.5" x14ac:dyDescent="0.25">
      <c r="A19" s="112">
        <f t="shared" si="9"/>
        <v>17</v>
      </c>
      <c r="B19" s="112"/>
      <c r="C19" s="112"/>
      <c r="D19" s="112"/>
      <c r="E19" s="99" t="s">
        <v>148</v>
      </c>
      <c r="F19" s="99"/>
      <c r="G19" s="99" t="s">
        <v>149</v>
      </c>
      <c r="H19" s="112"/>
      <c r="I19" s="112"/>
      <c r="J19" s="112"/>
      <c r="K19" s="112"/>
      <c r="L19" s="112"/>
      <c r="M19" s="101" t="s">
        <v>150</v>
      </c>
      <c r="N19" s="97"/>
      <c r="O19" s="97" t="s">
        <v>161</v>
      </c>
      <c r="P19" s="97" t="s">
        <v>173</v>
      </c>
      <c r="Q19" s="97" t="s">
        <v>174</v>
      </c>
      <c r="R19" s="97" t="s">
        <v>165</v>
      </c>
      <c r="S19" s="97"/>
      <c r="U19" s="100"/>
      <c r="V19" s="100">
        <v>7</v>
      </c>
      <c r="W19" s="101" t="str">
        <f t="shared" si="2"/>
        <v>OFF</v>
      </c>
      <c r="X19" s="101"/>
      <c r="Y19" s="100" t="str">
        <f t="shared" ca="1" si="0"/>
        <v>$AJ$6 &lt; $AK$6</v>
      </c>
      <c r="Z19" s="100" t="str">
        <f t="shared" ca="1" si="3"/>
        <v>$AJ$6 &gt; $AJ$2</v>
      </c>
      <c r="AA19" s="100" t="str">
        <f t="shared" ca="1" si="4"/>
        <v>$AJ$6 &lt; $AL$2</v>
      </c>
      <c r="AB19" s="100" t="str">
        <f t="shared" ca="1" si="5"/>
        <v>$AK$6 = $AL$2</v>
      </c>
      <c r="AC19" s="100" t="str">
        <f t="shared" ca="1" si="6"/>
        <v/>
      </c>
      <c r="AD19" s="100" t="str">
        <f t="shared" ca="1" si="7"/>
        <v/>
      </c>
      <c r="AE19" s="100"/>
      <c r="AF19" s="100" t="str">
        <f t="shared" ca="1" si="8"/>
        <v>AND($AJ$6 &gt; $AJ$2,$AJ$6 &lt; $AL$2,$AK$6 = $AL$2)</v>
      </c>
      <c r="AG19" s="100" t="s">
        <v>215</v>
      </c>
      <c r="AH19" s="100"/>
      <c r="AI19" s="100"/>
      <c r="AJ19" s="100"/>
      <c r="AK19" s="100"/>
      <c r="AL19" s="101"/>
    </row>
    <row r="20" spans="1:38" s="113" customFormat="1" ht="47.25" x14ac:dyDescent="0.25">
      <c r="A20" s="112">
        <f t="shared" si="9"/>
        <v>18</v>
      </c>
      <c r="B20" s="112"/>
      <c r="C20" s="112"/>
      <c r="D20" s="112"/>
      <c r="E20" s="99" t="s">
        <v>148</v>
      </c>
      <c r="F20" s="99"/>
      <c r="G20" s="99"/>
      <c r="H20" s="99" t="s">
        <v>149</v>
      </c>
      <c r="I20" s="99"/>
      <c r="J20" s="112"/>
      <c r="K20" s="112"/>
      <c r="L20" s="112"/>
      <c r="M20" s="101" t="s">
        <v>150</v>
      </c>
      <c r="N20" s="97" t="s">
        <v>156</v>
      </c>
      <c r="O20" s="97" t="s">
        <v>161</v>
      </c>
      <c r="P20" s="97" t="s">
        <v>173</v>
      </c>
      <c r="Q20" s="97" t="s">
        <v>174</v>
      </c>
      <c r="R20" s="97" t="s">
        <v>166</v>
      </c>
      <c r="S20" s="97" t="s">
        <v>167</v>
      </c>
      <c r="T20" s="113" t="s">
        <v>176</v>
      </c>
      <c r="U20" s="100"/>
      <c r="V20" s="100">
        <v>8</v>
      </c>
      <c r="W20" s="101" t="str">
        <f t="shared" si="2"/>
        <v>OFF</v>
      </c>
      <c r="X20" s="101"/>
      <c r="Y20" s="100" t="str">
        <f t="shared" ca="1" si="0"/>
        <v>$AJ$6 &lt; $AK$6</v>
      </c>
      <c r="Z20" s="100" t="str">
        <f t="shared" ca="1" si="3"/>
        <v>$AJ$6 &gt; $AJ$2</v>
      </c>
      <c r="AA20" s="100" t="str">
        <f t="shared" ca="1" si="4"/>
        <v>$AJ$6 &lt; $AL$2</v>
      </c>
      <c r="AB20" s="100" t="str">
        <f t="shared" ca="1" si="5"/>
        <v>$AK$6 &gt; $AL$2</v>
      </c>
      <c r="AC20" s="100" t="str">
        <f t="shared" ca="1" si="6"/>
        <v>$AK$6 &lt; $AK$2</v>
      </c>
      <c r="AD20" s="100" t="str">
        <f t="shared" ca="1" si="7"/>
        <v>($AK$6 - $AJ$6) &lt;15</v>
      </c>
      <c r="AE20" s="100"/>
      <c r="AF20" s="100" t="str">
        <f t="shared" ca="1" si="8"/>
        <v>AND($AJ$6 &gt; $AJ$2,$AJ$6 &lt; $AL$2,$AK$6 &gt; $AL$2,$AK$6 &lt; $AK$2,($AK$6 - $AJ$6) &lt;15)</v>
      </c>
      <c r="AG20" s="100" t="s">
        <v>216</v>
      </c>
      <c r="AH20" s="100"/>
      <c r="AI20" s="100"/>
      <c r="AJ20" s="100"/>
      <c r="AK20" s="100"/>
      <c r="AL20" s="101"/>
    </row>
    <row r="21" spans="1:38" s="113" customFormat="1" ht="47.25" x14ac:dyDescent="0.25">
      <c r="A21" s="112">
        <f t="shared" si="9"/>
        <v>19</v>
      </c>
      <c r="B21" s="112"/>
      <c r="C21" s="112"/>
      <c r="D21" s="112"/>
      <c r="E21" s="99" t="s">
        <v>148</v>
      </c>
      <c r="F21" s="99"/>
      <c r="G21" s="99"/>
      <c r="H21" s="99" t="s">
        <v>149</v>
      </c>
      <c r="I21" s="99"/>
      <c r="J21" s="112"/>
      <c r="K21" s="112"/>
      <c r="L21" s="112"/>
      <c r="M21" s="101" t="s">
        <v>151</v>
      </c>
      <c r="N21" s="97" t="s">
        <v>155</v>
      </c>
      <c r="O21" s="97" t="s">
        <v>161</v>
      </c>
      <c r="P21" s="97" t="s">
        <v>173</v>
      </c>
      <c r="Q21" s="97" t="s">
        <v>174</v>
      </c>
      <c r="R21" s="97" t="s">
        <v>166</v>
      </c>
      <c r="S21" s="97" t="s">
        <v>167</v>
      </c>
      <c r="T21" s="113" t="s">
        <v>177</v>
      </c>
      <c r="U21" s="100"/>
      <c r="V21" s="100">
        <v>26</v>
      </c>
      <c r="W21" s="101" t="str">
        <f t="shared" si="2"/>
        <v>ON</v>
      </c>
      <c r="X21" s="101"/>
      <c r="Y21" s="100" t="str">
        <f t="shared" ca="1" si="0"/>
        <v>$AJ$6 &lt; $AK$6</v>
      </c>
      <c r="Z21" s="100" t="str">
        <f t="shared" ca="1" si="3"/>
        <v>$AJ$6 &gt; $AJ$2</v>
      </c>
      <c r="AA21" s="100" t="str">
        <f t="shared" ca="1" si="4"/>
        <v>$AJ$6 &lt; $AL$2</v>
      </c>
      <c r="AB21" s="100" t="str">
        <f t="shared" ca="1" si="5"/>
        <v>$AK$6 &gt; $AL$2</v>
      </c>
      <c r="AC21" s="100" t="str">
        <f t="shared" ca="1" si="6"/>
        <v>$AK$6 &lt; $AK$2</v>
      </c>
      <c r="AD21" s="100" t="str">
        <f t="shared" ca="1" si="7"/>
        <v>($AK$6 - $AJ$6) &gt;=15</v>
      </c>
      <c r="AE21" s="100"/>
      <c r="AF21" s="100" t="str">
        <f t="shared" ca="1" si="8"/>
        <v>AND($AJ$6 &gt; $AJ$2,$AJ$6 &lt; $AL$2,$AK$6 &gt; $AL$2,$AK$6 &lt; $AK$2,($AK$6 - $AJ$6) &gt;=15)</v>
      </c>
      <c r="AG21" s="100" t="s">
        <v>217</v>
      </c>
      <c r="AH21" s="100"/>
      <c r="AI21" s="100"/>
      <c r="AJ21" s="100"/>
      <c r="AK21" s="100"/>
      <c r="AL21" s="101"/>
    </row>
    <row r="22" spans="1:38" s="113" customFormat="1" ht="31.5" x14ac:dyDescent="0.25">
      <c r="A22" s="112">
        <f t="shared" si="9"/>
        <v>20</v>
      </c>
      <c r="B22" s="112"/>
      <c r="C22" s="112"/>
      <c r="D22" s="112"/>
      <c r="E22" s="99" t="s">
        <v>148</v>
      </c>
      <c r="F22" s="99"/>
      <c r="G22" s="99"/>
      <c r="H22" s="99"/>
      <c r="I22" s="99"/>
      <c r="J22" s="99" t="s">
        <v>149</v>
      </c>
      <c r="K22" s="112"/>
      <c r="L22" s="112"/>
      <c r="M22" s="101" t="s">
        <v>151</v>
      </c>
      <c r="N22" s="97"/>
      <c r="O22" s="97" t="s">
        <v>161</v>
      </c>
      <c r="P22" s="97" t="s">
        <v>173</v>
      </c>
      <c r="Q22" s="97" t="s">
        <v>174</v>
      </c>
      <c r="R22" s="97" t="s">
        <v>168</v>
      </c>
      <c r="U22" s="100"/>
      <c r="V22" s="100">
        <v>27</v>
      </c>
      <c r="W22" s="101" t="str">
        <f t="shared" si="2"/>
        <v>ON</v>
      </c>
      <c r="X22" s="101"/>
      <c r="Y22" s="100" t="str">
        <f t="shared" ca="1" si="0"/>
        <v>$AJ$6 &lt; $AK$6</v>
      </c>
      <c r="Z22" s="100" t="str">
        <f t="shared" ca="1" si="3"/>
        <v>$AJ$6 &gt; $AJ$2</v>
      </c>
      <c r="AA22" s="100" t="str">
        <f t="shared" ca="1" si="4"/>
        <v>$AJ$6 &lt; $AL$2</v>
      </c>
      <c r="AB22" s="100" t="str">
        <f t="shared" ca="1" si="5"/>
        <v>$AK$6 = $AK$2</v>
      </c>
      <c r="AC22" s="100" t="str">
        <f t="shared" ca="1" si="6"/>
        <v/>
      </c>
      <c r="AD22" s="100" t="str">
        <f t="shared" ca="1" si="7"/>
        <v/>
      </c>
      <c r="AE22" s="100"/>
      <c r="AF22" s="100" t="str">
        <f t="shared" ca="1" si="8"/>
        <v>AND($AJ$6 &gt; $AJ$2,$AJ$6 &lt; $AL$2,$AK$6 = $AK$2)</v>
      </c>
      <c r="AG22" s="100" t="s">
        <v>218</v>
      </c>
      <c r="AH22" s="100"/>
      <c r="AK22" s="100"/>
      <c r="AL22" s="101"/>
    </row>
    <row r="23" spans="1:38" s="113" customFormat="1" ht="31.5" x14ac:dyDescent="0.25">
      <c r="A23" s="112">
        <f t="shared" si="9"/>
        <v>21</v>
      </c>
      <c r="B23" s="112"/>
      <c r="C23" s="112"/>
      <c r="D23" s="112"/>
      <c r="E23" s="99" t="s">
        <v>148</v>
      </c>
      <c r="F23" s="99"/>
      <c r="G23" s="99"/>
      <c r="H23" s="99"/>
      <c r="I23" s="99"/>
      <c r="J23" s="99"/>
      <c r="K23" s="99" t="s">
        <v>149</v>
      </c>
      <c r="L23" s="99"/>
      <c r="M23" s="101" t="s">
        <v>151</v>
      </c>
      <c r="N23" s="97"/>
      <c r="O23" s="97" t="s">
        <v>161</v>
      </c>
      <c r="P23" s="97" t="s">
        <v>173</v>
      </c>
      <c r="Q23" s="97" t="s">
        <v>174</v>
      </c>
      <c r="R23" s="97" t="s">
        <v>169</v>
      </c>
      <c r="U23" s="100"/>
      <c r="V23" s="100">
        <v>28</v>
      </c>
      <c r="W23" s="101" t="str">
        <f t="shared" si="2"/>
        <v>ON</v>
      </c>
      <c r="X23" s="101"/>
      <c r="Y23" s="100" t="str">
        <f t="shared" ca="1" si="0"/>
        <v>$AJ$6 &lt; $AK$6</v>
      </c>
      <c r="Z23" s="100" t="str">
        <f t="shared" ca="1" si="3"/>
        <v>$AJ$6 &gt; $AJ$2</v>
      </c>
      <c r="AA23" s="100" t="str">
        <f t="shared" ca="1" si="4"/>
        <v>$AJ$6 &lt; $AL$2</v>
      </c>
      <c r="AB23" s="100" t="str">
        <f t="shared" ca="1" si="5"/>
        <v>$AK$6 &gt; $AK$2</v>
      </c>
      <c r="AC23" s="100" t="str">
        <f t="shared" ca="1" si="6"/>
        <v/>
      </c>
      <c r="AD23" s="100" t="str">
        <f t="shared" ca="1" si="7"/>
        <v/>
      </c>
      <c r="AE23" s="100"/>
      <c r="AF23" s="100" t="str">
        <f t="shared" ca="1" si="8"/>
        <v>AND($AJ$6 &gt; $AJ$2,$AJ$6 &lt; $AL$2,$AK$6 &gt; $AK$2)</v>
      </c>
      <c r="AG23" s="100" t="s">
        <v>219</v>
      </c>
      <c r="AH23" s="100"/>
      <c r="AK23" s="100"/>
      <c r="AL23" s="101"/>
    </row>
    <row r="24" spans="1:38" s="113" customFormat="1" x14ac:dyDescent="0.25">
      <c r="A24" s="112">
        <f t="shared" si="9"/>
        <v>22</v>
      </c>
      <c r="B24" s="112"/>
      <c r="C24" s="112"/>
      <c r="D24" s="112"/>
      <c r="E24" s="112"/>
      <c r="F24" s="112"/>
      <c r="G24" s="99" t="s">
        <v>154</v>
      </c>
      <c r="H24" s="112"/>
      <c r="I24" s="112"/>
      <c r="J24" s="112"/>
      <c r="K24" s="112"/>
      <c r="L24" s="112"/>
      <c r="M24" s="101" t="s">
        <v>150</v>
      </c>
      <c r="N24" s="97"/>
      <c r="O24" s="97" t="s">
        <v>160</v>
      </c>
      <c r="P24" s="97"/>
      <c r="Q24" s="97"/>
      <c r="R24" s="97"/>
      <c r="U24" s="100"/>
      <c r="V24" s="101">
        <v>1</v>
      </c>
      <c r="W24" s="101" t="str">
        <f t="shared" si="2"/>
        <v>OFF</v>
      </c>
      <c r="X24" s="101"/>
      <c r="Y24" s="100" t="str">
        <f t="shared" ca="1" si="0"/>
        <v>$AJ$6 = $AK$6</v>
      </c>
      <c r="Z24" s="100" t="str">
        <f t="shared" ca="1" si="3"/>
        <v/>
      </c>
      <c r="AA24" s="100" t="str">
        <f t="shared" ca="1" si="4"/>
        <v/>
      </c>
      <c r="AB24" s="100" t="str">
        <f t="shared" ca="1" si="5"/>
        <v/>
      </c>
      <c r="AC24" s="100" t="str">
        <f t="shared" ca="1" si="6"/>
        <v/>
      </c>
      <c r="AD24" s="100" t="str">
        <f t="shared" ca="1" si="7"/>
        <v/>
      </c>
      <c r="AE24" s="100"/>
      <c r="AF24" s="100" t="str">
        <f t="shared" ca="1" si="8"/>
        <v>Lỗi</v>
      </c>
      <c r="AG24" s="100" t="s">
        <v>201</v>
      </c>
      <c r="AH24" s="100"/>
      <c r="AK24" s="100"/>
      <c r="AL24" s="101"/>
    </row>
    <row r="25" spans="1:38" s="113" customFormat="1" ht="31.5" x14ac:dyDescent="0.25">
      <c r="A25" s="112">
        <f t="shared" si="9"/>
        <v>23</v>
      </c>
      <c r="B25" s="112"/>
      <c r="C25" s="112"/>
      <c r="D25" s="112"/>
      <c r="E25" s="112"/>
      <c r="F25" s="112"/>
      <c r="G25" s="99" t="s">
        <v>148</v>
      </c>
      <c r="H25" s="99" t="s">
        <v>149</v>
      </c>
      <c r="I25" s="112"/>
      <c r="J25" s="112"/>
      <c r="K25" s="112"/>
      <c r="L25" s="112"/>
      <c r="M25" s="101" t="s">
        <v>150</v>
      </c>
      <c r="N25" s="97"/>
      <c r="O25" s="97" t="s">
        <v>161</v>
      </c>
      <c r="P25" s="97" t="s">
        <v>180</v>
      </c>
      <c r="Q25" s="97" t="s">
        <v>166</v>
      </c>
      <c r="R25" s="97" t="s">
        <v>167</v>
      </c>
      <c r="U25" s="100"/>
      <c r="V25" s="100">
        <v>9</v>
      </c>
      <c r="W25" s="101" t="str">
        <f t="shared" si="2"/>
        <v>OFF</v>
      </c>
      <c r="X25" s="101"/>
      <c r="Y25" s="100" t="str">
        <f t="shared" ca="1" si="0"/>
        <v>$AJ$6 &lt; $AK$6</v>
      </c>
      <c r="Z25" s="100" t="str">
        <f t="shared" ca="1" si="3"/>
        <v>$AJ$6 = $AL$2</v>
      </c>
      <c r="AA25" s="100" t="str">
        <f t="shared" ca="1" si="4"/>
        <v>$AK$6 &gt; $AL$2</v>
      </c>
      <c r="AB25" s="100" t="str">
        <f t="shared" ca="1" si="5"/>
        <v>$AK$6 &lt; $AK$2</v>
      </c>
      <c r="AC25" s="100" t="str">
        <f t="shared" ca="1" si="6"/>
        <v/>
      </c>
      <c r="AD25" s="100" t="str">
        <f t="shared" ca="1" si="7"/>
        <v/>
      </c>
      <c r="AE25" s="100"/>
      <c r="AF25" s="100" t="str">
        <f t="shared" ca="1" si="8"/>
        <v>AND($AJ$6 = $AL$2,$AK$6 &gt; $AL$2,$AK$6 &lt; $AK$2)</v>
      </c>
      <c r="AG25" s="100" t="s">
        <v>220</v>
      </c>
      <c r="AH25" s="100"/>
      <c r="AK25" s="100"/>
      <c r="AL25" s="101"/>
    </row>
    <row r="26" spans="1:38" s="113" customFormat="1" x14ac:dyDescent="0.25">
      <c r="A26" s="112">
        <f t="shared" si="9"/>
        <v>24</v>
      </c>
      <c r="B26" s="112"/>
      <c r="C26" s="112"/>
      <c r="D26" s="112"/>
      <c r="E26" s="112"/>
      <c r="F26" s="112"/>
      <c r="G26" s="99" t="s">
        <v>148</v>
      </c>
      <c r="H26" s="99"/>
      <c r="I26" s="99"/>
      <c r="J26" s="99" t="s">
        <v>149</v>
      </c>
      <c r="K26" s="112"/>
      <c r="L26" s="112"/>
      <c r="M26" s="101" t="s">
        <v>151</v>
      </c>
      <c r="N26" s="97"/>
      <c r="O26" s="97" t="s">
        <v>161</v>
      </c>
      <c r="P26" s="97" t="s">
        <v>180</v>
      </c>
      <c r="Q26" s="97" t="s">
        <v>168</v>
      </c>
      <c r="R26" s="97"/>
      <c r="U26" s="100"/>
      <c r="V26" s="100">
        <v>29</v>
      </c>
      <c r="W26" s="101" t="str">
        <f t="shared" si="2"/>
        <v>ON</v>
      </c>
      <c r="X26" s="101"/>
      <c r="Y26" s="100" t="str">
        <f t="shared" ca="1" si="0"/>
        <v>$AJ$6 &lt; $AK$6</v>
      </c>
      <c r="Z26" s="100" t="str">
        <f t="shared" ca="1" si="3"/>
        <v>$AJ$6 = $AL$2</v>
      </c>
      <c r="AA26" s="100" t="str">
        <f t="shared" ca="1" si="4"/>
        <v>$AK$6 = $AK$2</v>
      </c>
      <c r="AB26" s="100" t="str">
        <f t="shared" ca="1" si="5"/>
        <v/>
      </c>
      <c r="AC26" s="100" t="str">
        <f t="shared" ca="1" si="6"/>
        <v/>
      </c>
      <c r="AD26" s="100" t="str">
        <f t="shared" ca="1" si="7"/>
        <v/>
      </c>
      <c r="AE26" s="100"/>
      <c r="AF26" s="100" t="str">
        <f t="shared" ca="1" si="8"/>
        <v>AND($AJ$6 = $AL$2,$AK$6 = $AK$2)</v>
      </c>
      <c r="AG26" s="100" t="s">
        <v>221</v>
      </c>
      <c r="AH26" s="100"/>
      <c r="AK26" s="100"/>
      <c r="AL26" s="101"/>
    </row>
    <row r="27" spans="1:38" s="113" customFormat="1" x14ac:dyDescent="0.25">
      <c r="A27" s="112">
        <f t="shared" si="9"/>
        <v>25</v>
      </c>
      <c r="B27" s="112"/>
      <c r="C27" s="112"/>
      <c r="D27" s="112"/>
      <c r="E27" s="112"/>
      <c r="F27" s="112"/>
      <c r="G27" s="99" t="s">
        <v>148</v>
      </c>
      <c r="H27" s="99"/>
      <c r="I27" s="99"/>
      <c r="J27" s="99"/>
      <c r="K27" s="99" t="s">
        <v>149</v>
      </c>
      <c r="L27" s="112"/>
      <c r="M27" s="101" t="s">
        <v>151</v>
      </c>
      <c r="N27" s="97"/>
      <c r="O27" s="97" t="s">
        <v>161</v>
      </c>
      <c r="P27" s="97" t="s">
        <v>180</v>
      </c>
      <c r="Q27" s="97" t="s">
        <v>169</v>
      </c>
      <c r="R27" s="97"/>
      <c r="U27" s="100"/>
      <c r="V27" s="100">
        <v>30</v>
      </c>
      <c r="W27" s="101" t="str">
        <f t="shared" si="2"/>
        <v>ON</v>
      </c>
      <c r="X27" s="101"/>
      <c r="Y27" s="100" t="str">
        <f t="shared" ca="1" si="0"/>
        <v>$AJ$6 &lt; $AK$6</v>
      </c>
      <c r="Z27" s="100" t="str">
        <f t="shared" ca="1" si="3"/>
        <v>$AJ$6 = $AL$2</v>
      </c>
      <c r="AA27" s="100" t="str">
        <f t="shared" ca="1" si="4"/>
        <v>$AK$6 &gt; $AK$2</v>
      </c>
      <c r="AB27" s="100" t="str">
        <f t="shared" ca="1" si="5"/>
        <v/>
      </c>
      <c r="AC27" s="100" t="str">
        <f t="shared" ca="1" si="6"/>
        <v/>
      </c>
      <c r="AD27" s="100" t="str">
        <f t="shared" ca="1" si="7"/>
        <v/>
      </c>
      <c r="AE27" s="100"/>
      <c r="AF27" s="100" t="str">
        <f t="shared" ca="1" si="8"/>
        <v>AND($AJ$6 = $AL$2,$AK$6 &gt; $AK$2)</v>
      </c>
      <c r="AG27" s="100" t="s">
        <v>222</v>
      </c>
      <c r="AH27" s="100"/>
      <c r="AK27" s="100"/>
      <c r="AL27" s="101"/>
    </row>
    <row r="28" spans="1:38" s="113" customFormat="1" x14ac:dyDescent="0.25">
      <c r="A28" s="112">
        <f t="shared" si="9"/>
        <v>26</v>
      </c>
      <c r="B28" s="112"/>
      <c r="C28" s="112"/>
      <c r="D28" s="112"/>
      <c r="E28" s="112"/>
      <c r="F28" s="112"/>
      <c r="G28" s="112"/>
      <c r="H28" s="99" t="s">
        <v>154</v>
      </c>
      <c r="I28" s="112"/>
      <c r="J28" s="112"/>
      <c r="K28" s="112"/>
      <c r="L28" s="112"/>
      <c r="M28" s="101" t="s">
        <v>150</v>
      </c>
      <c r="N28" s="97"/>
      <c r="O28" s="97" t="s">
        <v>160</v>
      </c>
      <c r="P28" s="97"/>
      <c r="Q28" s="97"/>
      <c r="R28" s="97"/>
      <c r="U28" s="100"/>
      <c r="V28" s="101">
        <v>1</v>
      </c>
      <c r="W28" s="101" t="str">
        <f t="shared" si="2"/>
        <v>OFF</v>
      </c>
      <c r="X28" s="101"/>
      <c r="Y28" s="100" t="str">
        <f t="shared" ca="1" si="0"/>
        <v>$AJ$6 = $AK$6</v>
      </c>
      <c r="Z28" s="100" t="str">
        <f t="shared" ca="1" si="3"/>
        <v/>
      </c>
      <c r="AA28" s="100" t="str">
        <f t="shared" ca="1" si="4"/>
        <v/>
      </c>
      <c r="AB28" s="100" t="str">
        <f t="shared" ca="1" si="5"/>
        <v/>
      </c>
      <c r="AC28" s="100" t="str">
        <f t="shared" ca="1" si="6"/>
        <v/>
      </c>
      <c r="AD28" s="100" t="str">
        <f t="shared" ca="1" si="7"/>
        <v/>
      </c>
      <c r="AE28" s="100"/>
      <c r="AF28" s="100" t="str">
        <f t="shared" ca="1" si="8"/>
        <v>Lỗi</v>
      </c>
      <c r="AG28" s="100" t="s">
        <v>201</v>
      </c>
      <c r="AH28" s="100"/>
      <c r="AK28" s="100"/>
      <c r="AL28" s="101"/>
    </row>
    <row r="29" spans="1:38" s="113" customFormat="1" x14ac:dyDescent="0.25">
      <c r="A29" s="112">
        <f t="shared" si="9"/>
        <v>27</v>
      </c>
      <c r="B29" s="112"/>
      <c r="C29" s="112"/>
      <c r="D29" s="112"/>
      <c r="E29" s="112"/>
      <c r="F29" s="112"/>
      <c r="G29" s="112"/>
      <c r="H29" s="99" t="s">
        <v>148</v>
      </c>
      <c r="I29" s="99" t="s">
        <v>149</v>
      </c>
      <c r="J29" s="112"/>
      <c r="K29" s="112"/>
      <c r="L29" s="112"/>
      <c r="M29" s="101" t="s">
        <v>150</v>
      </c>
      <c r="N29" s="97"/>
      <c r="O29" s="97" t="s">
        <v>161</v>
      </c>
      <c r="P29" s="97" t="s">
        <v>179</v>
      </c>
      <c r="Q29" s="97" t="s">
        <v>167</v>
      </c>
      <c r="R29" s="97"/>
      <c r="U29" s="100"/>
      <c r="V29" s="100">
        <v>10</v>
      </c>
      <c r="W29" s="101" t="str">
        <f t="shared" si="2"/>
        <v>OFF</v>
      </c>
      <c r="X29" s="101"/>
      <c r="Y29" s="100" t="str">
        <f t="shared" ca="1" si="0"/>
        <v>$AJ$6 &lt; $AK$6</v>
      </c>
      <c r="Z29" s="100" t="str">
        <f t="shared" ca="1" si="3"/>
        <v>$AJ$6 &gt; $AL$2</v>
      </c>
      <c r="AA29" s="100" t="str">
        <f t="shared" ca="1" si="4"/>
        <v>$AK$6 &lt; $AK$2</v>
      </c>
      <c r="AB29" s="100" t="str">
        <f t="shared" ca="1" si="5"/>
        <v/>
      </c>
      <c r="AC29" s="100" t="str">
        <f t="shared" ca="1" si="6"/>
        <v/>
      </c>
      <c r="AD29" s="100" t="str">
        <f t="shared" ca="1" si="7"/>
        <v/>
      </c>
      <c r="AE29" s="100"/>
      <c r="AF29" s="100" t="str">
        <f t="shared" ca="1" si="8"/>
        <v>AND($AJ$6 &gt; $AL$2,$AK$6 &lt; $AK$2)</v>
      </c>
      <c r="AG29" s="100" t="s">
        <v>223</v>
      </c>
      <c r="AH29" s="100"/>
      <c r="AK29" s="100"/>
      <c r="AL29" s="101"/>
    </row>
    <row r="30" spans="1:38" s="113" customFormat="1" ht="31.5" x14ac:dyDescent="0.25">
      <c r="A30" s="112">
        <f t="shared" si="9"/>
        <v>28</v>
      </c>
      <c r="B30" s="112"/>
      <c r="C30" s="112"/>
      <c r="D30" s="112"/>
      <c r="E30" s="112"/>
      <c r="F30" s="112"/>
      <c r="G30" s="112"/>
      <c r="H30" s="99" t="s">
        <v>148</v>
      </c>
      <c r="I30" s="99"/>
      <c r="J30" s="99" t="s">
        <v>149</v>
      </c>
      <c r="K30" s="112"/>
      <c r="L30" s="112"/>
      <c r="M30" s="101" t="s">
        <v>150</v>
      </c>
      <c r="N30" s="97"/>
      <c r="O30" s="97" t="s">
        <v>161</v>
      </c>
      <c r="P30" s="97" t="s">
        <v>179</v>
      </c>
      <c r="Q30" s="97" t="s">
        <v>182</v>
      </c>
      <c r="R30" s="97" t="s">
        <v>168</v>
      </c>
      <c r="U30" s="100"/>
      <c r="V30" s="100">
        <v>11</v>
      </c>
      <c r="W30" s="101" t="str">
        <f t="shared" si="2"/>
        <v>OFF</v>
      </c>
      <c r="X30" s="101"/>
      <c r="Y30" s="100" t="str">
        <f t="shared" ca="1" si="0"/>
        <v>$AJ$6 &lt; $AK$6</v>
      </c>
      <c r="Z30" s="100" t="str">
        <f t="shared" ca="1" si="3"/>
        <v>$AJ$6 &gt; $AL$2</v>
      </c>
      <c r="AA30" s="100" t="str">
        <f t="shared" ca="1" si="4"/>
        <v>$AJ$6 &lt; $AK$2</v>
      </c>
      <c r="AB30" s="100" t="str">
        <f t="shared" ca="1" si="5"/>
        <v>$AK$6 = $AK$2</v>
      </c>
      <c r="AC30" s="100" t="str">
        <f t="shared" ca="1" si="6"/>
        <v/>
      </c>
      <c r="AD30" s="100" t="str">
        <f t="shared" ca="1" si="7"/>
        <v/>
      </c>
      <c r="AE30" s="100"/>
      <c r="AF30" s="100" t="str">
        <f t="shared" ca="1" si="8"/>
        <v>AND($AJ$6 &gt; $AL$2,$AJ$6 &lt; $AK$2,$AK$6 = $AK$2)</v>
      </c>
      <c r="AG30" s="100" t="s">
        <v>224</v>
      </c>
      <c r="AH30" s="100"/>
      <c r="AK30" s="100"/>
      <c r="AL30" s="101"/>
    </row>
    <row r="31" spans="1:38" s="113" customFormat="1" ht="31.5" x14ac:dyDescent="0.25">
      <c r="A31" s="112">
        <f t="shared" si="9"/>
        <v>29</v>
      </c>
      <c r="B31" s="112"/>
      <c r="C31" s="112"/>
      <c r="D31" s="112"/>
      <c r="E31" s="112"/>
      <c r="F31" s="112"/>
      <c r="G31" s="112"/>
      <c r="H31" s="99" t="s">
        <v>148</v>
      </c>
      <c r="I31" s="99"/>
      <c r="J31" s="99"/>
      <c r="K31" s="99" t="s">
        <v>149</v>
      </c>
      <c r="L31" s="112"/>
      <c r="M31" s="101" t="s">
        <v>150</v>
      </c>
      <c r="N31" s="97"/>
      <c r="O31" s="97" t="s">
        <v>161</v>
      </c>
      <c r="P31" s="97" t="s">
        <v>179</v>
      </c>
      <c r="Q31" s="97" t="s">
        <v>182</v>
      </c>
      <c r="R31" s="97" t="s">
        <v>169</v>
      </c>
      <c r="U31" s="100"/>
      <c r="V31" s="100">
        <v>12</v>
      </c>
      <c r="W31" s="101" t="str">
        <f t="shared" si="2"/>
        <v>OFF</v>
      </c>
      <c r="X31" s="101"/>
      <c r="Y31" s="100" t="str">
        <f t="shared" ca="1" si="0"/>
        <v>$AJ$6 &lt; $AK$6</v>
      </c>
      <c r="Z31" s="100" t="str">
        <f t="shared" ca="1" si="3"/>
        <v>$AJ$6 &gt; $AL$2</v>
      </c>
      <c r="AA31" s="100" t="str">
        <f t="shared" ca="1" si="4"/>
        <v>$AJ$6 &lt; $AK$2</v>
      </c>
      <c r="AB31" s="100" t="str">
        <f t="shared" ca="1" si="5"/>
        <v>$AK$6 &gt; $AK$2</v>
      </c>
      <c r="AC31" s="100" t="str">
        <f t="shared" ca="1" si="6"/>
        <v/>
      </c>
      <c r="AD31" s="100" t="str">
        <f t="shared" ca="1" si="7"/>
        <v/>
      </c>
      <c r="AE31" s="100"/>
      <c r="AF31" s="100" t="str">
        <f t="shared" ca="1" si="8"/>
        <v>AND($AJ$6 &gt; $AL$2,$AJ$6 &lt; $AK$2,$AK$6 &gt; $AK$2)</v>
      </c>
      <c r="AG31" s="100" t="s">
        <v>225</v>
      </c>
      <c r="AH31" s="100"/>
      <c r="AK31" s="100"/>
      <c r="AL31" s="101"/>
    </row>
    <row r="32" spans="1:38" s="113" customFormat="1" x14ac:dyDescent="0.25">
      <c r="A32" s="112">
        <f t="shared" si="9"/>
        <v>30</v>
      </c>
      <c r="B32" s="112"/>
      <c r="C32" s="112"/>
      <c r="D32" s="112"/>
      <c r="E32" s="112"/>
      <c r="F32" s="112"/>
      <c r="G32" s="112"/>
      <c r="H32" s="112"/>
      <c r="I32" s="112"/>
      <c r="J32" s="99" t="s">
        <v>154</v>
      </c>
      <c r="K32" s="112"/>
      <c r="L32" s="112"/>
      <c r="M32" s="101" t="s">
        <v>150</v>
      </c>
      <c r="N32" s="97"/>
      <c r="O32" s="97" t="s">
        <v>160</v>
      </c>
      <c r="P32" s="97"/>
      <c r="Q32" s="97"/>
      <c r="R32" s="97"/>
      <c r="U32" s="100"/>
      <c r="V32" s="101">
        <v>1</v>
      </c>
      <c r="W32" s="101" t="str">
        <f t="shared" si="2"/>
        <v>OFF</v>
      </c>
      <c r="X32" s="101"/>
      <c r="Y32" s="100" t="str">
        <f t="shared" ca="1" si="0"/>
        <v>$AJ$6 = $AK$6</v>
      </c>
      <c r="Z32" s="100" t="str">
        <f t="shared" ca="1" si="3"/>
        <v/>
      </c>
      <c r="AA32" s="100" t="str">
        <f t="shared" ca="1" si="4"/>
        <v/>
      </c>
      <c r="AB32" s="100" t="str">
        <f t="shared" ca="1" si="5"/>
        <v/>
      </c>
      <c r="AC32" s="100" t="str">
        <f t="shared" ca="1" si="6"/>
        <v/>
      </c>
      <c r="AD32" s="100" t="str">
        <f t="shared" ca="1" si="7"/>
        <v/>
      </c>
      <c r="AE32" s="100"/>
      <c r="AF32" s="100" t="str">
        <f t="shared" ca="1" si="8"/>
        <v>Lỗi</v>
      </c>
      <c r="AG32" s="100" t="s">
        <v>201</v>
      </c>
      <c r="AH32" s="100"/>
      <c r="AK32" s="100"/>
      <c r="AL32" s="101"/>
    </row>
    <row r="33" spans="1:38" s="113" customFormat="1" x14ac:dyDescent="0.25">
      <c r="A33" s="112">
        <f t="shared" si="9"/>
        <v>31</v>
      </c>
      <c r="B33" s="112"/>
      <c r="C33" s="112"/>
      <c r="D33" s="112"/>
      <c r="E33" s="112"/>
      <c r="F33" s="112"/>
      <c r="G33" s="112"/>
      <c r="H33" s="112"/>
      <c r="I33" s="112"/>
      <c r="J33" s="99" t="s">
        <v>148</v>
      </c>
      <c r="K33" s="99" t="s">
        <v>149</v>
      </c>
      <c r="L33" s="99"/>
      <c r="M33" s="101" t="s">
        <v>150</v>
      </c>
      <c r="N33" s="97"/>
      <c r="O33" s="97" t="s">
        <v>161</v>
      </c>
      <c r="P33" s="97" t="s">
        <v>178</v>
      </c>
      <c r="Q33" s="97" t="s">
        <v>169</v>
      </c>
      <c r="R33" s="97"/>
      <c r="U33" s="100"/>
      <c r="V33" s="100">
        <v>13</v>
      </c>
      <c r="W33" s="101" t="str">
        <f t="shared" si="2"/>
        <v>OFF</v>
      </c>
      <c r="X33" s="101"/>
      <c r="Y33" s="100" t="str">
        <f t="shared" ca="1" si="0"/>
        <v>$AJ$6 &lt; $AK$6</v>
      </c>
      <c r="Z33" s="100" t="str">
        <f t="shared" ca="1" si="3"/>
        <v>$AJ$6 = $AK$2</v>
      </c>
      <c r="AA33" s="100" t="str">
        <f t="shared" ca="1" si="4"/>
        <v>$AK$6 &gt; $AK$2</v>
      </c>
      <c r="AB33" s="100" t="str">
        <f t="shared" ca="1" si="5"/>
        <v/>
      </c>
      <c r="AC33" s="100" t="str">
        <f t="shared" ca="1" si="6"/>
        <v/>
      </c>
      <c r="AD33" s="100" t="str">
        <f t="shared" ca="1" si="7"/>
        <v/>
      </c>
      <c r="AE33" s="100"/>
      <c r="AF33" s="100" t="str">
        <f t="shared" ca="1" si="8"/>
        <v>AND($AJ$6 = $AK$2,$AK$6 &gt; $AK$2)</v>
      </c>
      <c r="AG33" s="100" t="s">
        <v>226</v>
      </c>
      <c r="AH33" s="100"/>
      <c r="AK33" s="100"/>
      <c r="AL33" s="101"/>
    </row>
    <row r="34" spans="1:38" s="113" customFormat="1" x14ac:dyDescent="0.25">
      <c r="A34" s="112">
        <f t="shared" si="9"/>
        <v>32</v>
      </c>
      <c r="B34" s="112"/>
      <c r="C34" s="112"/>
      <c r="D34" s="112"/>
      <c r="E34" s="112"/>
      <c r="F34" s="112"/>
      <c r="G34" s="112"/>
      <c r="H34" s="112"/>
      <c r="I34" s="112"/>
      <c r="J34" s="112"/>
      <c r="K34" s="99" t="s">
        <v>154</v>
      </c>
      <c r="L34" s="99"/>
      <c r="M34" s="101" t="s">
        <v>150</v>
      </c>
      <c r="N34" s="97"/>
      <c r="O34" s="97" t="s">
        <v>160</v>
      </c>
      <c r="P34" s="97"/>
      <c r="Q34" s="97"/>
      <c r="R34" s="97"/>
      <c r="U34" s="100"/>
      <c r="V34" s="101">
        <v>1</v>
      </c>
      <c r="W34" s="101" t="str">
        <f t="shared" si="2"/>
        <v>OFF</v>
      </c>
      <c r="X34" s="101"/>
      <c r="Y34" s="100" t="str">
        <f t="shared" ref="Y34:Y42" ca="1" si="10">SUBSTITUTE(SUBSTITUTE(SUBSTITUTE(SUBSTITUTE(SUBSTITUTE(O34,
"Ngày đầu kỳ",$AJ$8),
"Ngày cuối kỳ",$AJ$9),
"Ngày giữa kỳ",$AJ$10),
"Ngày bắt đầu QT",$AJ$11),
"Ngày kết thúc QT",$AJ$12)</f>
        <v>$AJ$6 = $AK$6</v>
      </c>
      <c r="Z34" s="100" t="str">
        <f t="shared" ref="Z34:Z42" ca="1" si="11">SUBSTITUTE(SUBSTITUTE(SUBSTITUTE(SUBSTITUTE(SUBSTITUTE(P34,
"Ngày đầu kỳ",$AJ$8),
"Ngày cuối kỳ",$AJ$9),
"Ngày giữa kỳ",$AJ$10),
"Ngày bắt đầu QT",$AJ$11),
"Ngày kết thúc QT",$AJ$12)</f>
        <v/>
      </c>
      <c r="AA34" s="100" t="str">
        <f t="shared" ref="AA34:AA42" ca="1" si="12">SUBSTITUTE(SUBSTITUTE(SUBSTITUTE(SUBSTITUTE(SUBSTITUTE(Q34,
"Ngày đầu kỳ",$AJ$8),
"Ngày cuối kỳ",$AJ$9),
"Ngày giữa kỳ",$AJ$10),
"Ngày bắt đầu QT",$AJ$11),
"Ngày kết thúc QT",$AJ$12)</f>
        <v/>
      </c>
      <c r="AB34" s="100" t="str">
        <f t="shared" ref="AB34:AB42" ca="1" si="13">SUBSTITUTE(SUBSTITUTE(SUBSTITUTE(SUBSTITUTE(SUBSTITUTE(R34,
"Ngày đầu kỳ",$AJ$8),
"Ngày cuối kỳ",$AJ$9),
"Ngày giữa kỳ",$AJ$10),
"Ngày bắt đầu QT",$AJ$11),
"Ngày kết thúc QT",$AJ$12)</f>
        <v/>
      </c>
      <c r="AC34" s="100" t="str">
        <f t="shared" ref="AC34:AC42" ca="1" si="14">SUBSTITUTE(SUBSTITUTE(SUBSTITUTE(SUBSTITUTE(SUBSTITUTE(S34,
"Ngày đầu kỳ",$AJ$8),
"Ngày cuối kỳ",$AJ$9),
"Ngày giữa kỳ",$AJ$10),
"Ngày bắt đầu QT",$AJ$11),
"Ngày kết thúc QT",$AJ$12)</f>
        <v/>
      </c>
      <c r="AD34" s="100" t="str">
        <f t="shared" ref="AD34:AD42" ca="1" si="15">SUBSTITUTE(SUBSTITUTE(SUBSTITUTE(SUBSTITUTE(SUBSTITUTE(T34,
"Ngày đầu kỳ",$AJ$8),
"Ngày cuối kỳ",$AJ$9),
"Ngày giữa kỳ",$AJ$10),
"Ngày bắt đầu QT",$AJ$11),
"Ngày kết thúc QT",$AJ$12)</f>
        <v/>
      </c>
      <c r="AE34" s="100"/>
      <c r="AF34" s="100" t="str">
        <f t="shared" ca="1" si="8"/>
        <v>Lỗi</v>
      </c>
      <c r="AG34" s="100" t="s">
        <v>201</v>
      </c>
      <c r="AH34" s="100"/>
      <c r="AK34" s="100"/>
      <c r="AL34" s="101"/>
    </row>
    <row r="35" spans="1:38" s="113" customFormat="1" x14ac:dyDescent="0.25">
      <c r="A35" s="112">
        <f t="shared" si="9"/>
        <v>33</v>
      </c>
      <c r="B35" s="112"/>
      <c r="C35" s="112"/>
      <c r="D35" s="112"/>
      <c r="E35" s="112"/>
      <c r="F35" s="112"/>
      <c r="G35" s="112"/>
      <c r="H35" s="112"/>
      <c r="I35" s="112"/>
      <c r="J35" s="112"/>
      <c r="K35" s="99" t="s">
        <v>148</v>
      </c>
      <c r="L35" s="99" t="s">
        <v>149</v>
      </c>
      <c r="M35" s="101" t="s">
        <v>150</v>
      </c>
      <c r="N35" s="97"/>
      <c r="O35" s="97" t="s">
        <v>161</v>
      </c>
      <c r="P35" s="97" t="s">
        <v>181</v>
      </c>
      <c r="Q35" s="97"/>
      <c r="R35" s="97"/>
      <c r="U35" s="100"/>
      <c r="V35" s="101">
        <v>14</v>
      </c>
      <c r="W35" s="101" t="str">
        <f t="shared" si="2"/>
        <v>OFF</v>
      </c>
      <c r="X35" s="101"/>
      <c r="Y35" s="100" t="str">
        <f t="shared" ca="1" si="10"/>
        <v>$AJ$6 &lt; $AK$6</v>
      </c>
      <c r="Z35" s="100" t="str">
        <f t="shared" ca="1" si="11"/>
        <v>$AJ$6 &gt; $AK$2</v>
      </c>
      <c r="AA35" s="100" t="str">
        <f t="shared" ca="1" si="12"/>
        <v/>
      </c>
      <c r="AB35" s="100" t="str">
        <f t="shared" ca="1" si="13"/>
        <v/>
      </c>
      <c r="AC35" s="100" t="str">
        <f t="shared" ca="1" si="14"/>
        <v/>
      </c>
      <c r="AD35" s="100" t="str">
        <f t="shared" ca="1" si="15"/>
        <v/>
      </c>
      <c r="AE35" s="100"/>
      <c r="AF35" s="100" t="str">
        <f t="shared" ca="1" si="8"/>
        <v>$AJ$6 &gt; $AK$2</v>
      </c>
      <c r="AG35" s="100" t="s">
        <v>227</v>
      </c>
      <c r="AH35" s="100"/>
      <c r="AK35" s="100"/>
      <c r="AL35" s="101"/>
    </row>
    <row r="36" spans="1:38" s="113" customFormat="1" ht="31.5" x14ac:dyDescent="0.25">
      <c r="A36" s="112">
        <f t="shared" si="9"/>
        <v>34</v>
      </c>
      <c r="B36" s="99" t="s">
        <v>148</v>
      </c>
      <c r="C36" s="99"/>
      <c r="D36" s="99"/>
      <c r="E36" s="99"/>
      <c r="F36" s="99"/>
      <c r="G36" s="99"/>
      <c r="H36" s="99"/>
      <c r="I36" s="99"/>
      <c r="J36" s="99"/>
      <c r="K36" s="99"/>
      <c r="L36" s="99"/>
      <c r="M36" s="101" t="s">
        <v>151</v>
      </c>
      <c r="N36" s="97"/>
      <c r="O36" s="97" t="s">
        <v>161</v>
      </c>
      <c r="P36" s="97" t="s">
        <v>171</v>
      </c>
      <c r="Q36" s="97" t="s">
        <v>183</v>
      </c>
      <c r="U36" s="100"/>
      <c r="V36" s="100">
        <v>31</v>
      </c>
      <c r="W36" s="101" t="str">
        <f t="shared" si="2"/>
        <v>ON</v>
      </c>
      <c r="X36" s="101"/>
      <c r="Y36" s="100" t="str">
        <f t="shared" ca="1" si="10"/>
        <v>$AJ$6 &lt; $AK$6</v>
      </c>
      <c r="Z36" s="100" t="str">
        <f t="shared" ca="1" si="11"/>
        <v>$AJ$6 &lt; $AJ$2</v>
      </c>
      <c r="AA36" s="100" t="str">
        <f t="shared" ca="1" si="12"/>
        <v>$AK$6 = "31/12/2100"</v>
      </c>
      <c r="AB36" s="100" t="str">
        <f t="shared" ca="1" si="13"/>
        <v/>
      </c>
      <c r="AC36" s="100" t="str">
        <f t="shared" ca="1" si="14"/>
        <v/>
      </c>
      <c r="AD36" s="100" t="str">
        <f t="shared" ca="1" si="15"/>
        <v/>
      </c>
      <c r="AE36" s="100"/>
      <c r="AF36" s="100" t="str">
        <f t="shared" ca="1" si="8"/>
        <v>AND($AJ$6 &lt; $AJ$2,$AK$6 = "31/12/2100")</v>
      </c>
      <c r="AG36" s="100" t="s">
        <v>228</v>
      </c>
      <c r="AH36" s="100"/>
      <c r="AI36" s="100"/>
      <c r="AJ36" s="100"/>
      <c r="AK36" s="100"/>
      <c r="AL36" s="101"/>
    </row>
    <row r="37" spans="1:38" s="113" customFormat="1" ht="31.5" x14ac:dyDescent="0.25">
      <c r="A37" s="112">
        <f t="shared" si="9"/>
        <v>35</v>
      </c>
      <c r="B37" s="112"/>
      <c r="C37" s="112"/>
      <c r="D37" s="99" t="s">
        <v>148</v>
      </c>
      <c r="E37" s="99"/>
      <c r="F37" s="99"/>
      <c r="G37" s="99"/>
      <c r="H37" s="99"/>
      <c r="I37" s="99"/>
      <c r="J37" s="99"/>
      <c r="K37" s="99"/>
      <c r="L37" s="99"/>
      <c r="M37" s="101" t="s">
        <v>151</v>
      </c>
      <c r="N37" s="97"/>
      <c r="O37" s="97" t="s">
        <v>161</v>
      </c>
      <c r="P37" s="97" t="s">
        <v>172</v>
      </c>
      <c r="Q37" s="97" t="s">
        <v>183</v>
      </c>
      <c r="U37" s="100"/>
      <c r="V37" s="100">
        <v>32</v>
      </c>
      <c r="W37" s="101" t="str">
        <f t="shared" si="2"/>
        <v>ON</v>
      </c>
      <c r="X37" s="101"/>
      <c r="Y37" s="100" t="str">
        <f t="shared" ca="1" si="10"/>
        <v>$AJ$6 &lt; $AK$6</v>
      </c>
      <c r="Z37" s="100" t="str">
        <f t="shared" ca="1" si="11"/>
        <v>$AJ$6 = $AJ$2</v>
      </c>
      <c r="AA37" s="100" t="str">
        <f t="shared" ca="1" si="12"/>
        <v>$AK$6 = "31/12/2100"</v>
      </c>
      <c r="AB37" s="100" t="str">
        <f t="shared" ca="1" si="13"/>
        <v/>
      </c>
      <c r="AC37" s="100" t="str">
        <f t="shared" ca="1" si="14"/>
        <v/>
      </c>
      <c r="AD37" s="100" t="str">
        <f t="shared" ca="1" si="15"/>
        <v/>
      </c>
      <c r="AE37" s="100"/>
      <c r="AF37" s="100" t="str">
        <f t="shared" ca="1" si="8"/>
        <v>AND($AJ$6 = $AJ$2,$AK$6 = "31/12/2100")</v>
      </c>
      <c r="AG37" s="100" t="s">
        <v>229</v>
      </c>
      <c r="AH37" s="100"/>
      <c r="AI37" s="100"/>
      <c r="AJ37" s="100"/>
      <c r="AK37" s="100"/>
      <c r="AL37" s="101"/>
    </row>
    <row r="38" spans="1:38" s="113" customFormat="1" ht="31.5" x14ac:dyDescent="0.25">
      <c r="A38" s="112">
        <f t="shared" si="9"/>
        <v>36</v>
      </c>
      <c r="B38" s="112"/>
      <c r="C38" s="112"/>
      <c r="D38" s="112"/>
      <c r="E38" s="99" t="s">
        <v>148</v>
      </c>
      <c r="F38" s="99"/>
      <c r="G38" s="99"/>
      <c r="H38" s="99"/>
      <c r="I38" s="99"/>
      <c r="J38" s="99"/>
      <c r="K38" s="99"/>
      <c r="L38" s="99"/>
      <c r="M38" s="101" t="s">
        <v>151</v>
      </c>
      <c r="N38" s="97"/>
      <c r="O38" s="97" t="s">
        <v>161</v>
      </c>
      <c r="P38" s="97" t="s">
        <v>173</v>
      </c>
      <c r="Q38" s="97" t="s">
        <v>174</v>
      </c>
      <c r="R38" s="97" t="s">
        <v>183</v>
      </c>
      <c r="U38" s="100"/>
      <c r="V38" s="100">
        <v>33</v>
      </c>
      <c r="W38" s="101" t="str">
        <f t="shared" si="2"/>
        <v>ON</v>
      </c>
      <c r="X38" s="101"/>
      <c r="Y38" s="100" t="str">
        <f t="shared" ca="1" si="10"/>
        <v>$AJ$6 &lt; $AK$6</v>
      </c>
      <c r="Z38" s="100" t="str">
        <f t="shared" ca="1" si="11"/>
        <v>$AJ$6 &gt; $AJ$2</v>
      </c>
      <c r="AA38" s="100" t="str">
        <f t="shared" ca="1" si="12"/>
        <v>$AJ$6 &lt; $AL$2</v>
      </c>
      <c r="AB38" s="100" t="str">
        <f t="shared" ca="1" si="13"/>
        <v>$AK$6 = "31/12/2100"</v>
      </c>
      <c r="AC38" s="100" t="str">
        <f t="shared" ca="1" si="14"/>
        <v/>
      </c>
      <c r="AD38" s="100" t="str">
        <f t="shared" ca="1" si="15"/>
        <v/>
      </c>
      <c r="AE38" s="100"/>
      <c r="AF38" s="100" t="str">
        <f t="shared" ca="1" si="8"/>
        <v>AND($AJ$6 &gt; $AJ$2,$AJ$6 &lt; $AL$2,$AK$6 = "31/12/2100")</v>
      </c>
      <c r="AG38" s="100" t="s">
        <v>230</v>
      </c>
      <c r="AH38" s="100"/>
      <c r="AI38" s="100"/>
      <c r="AJ38" s="100"/>
      <c r="AK38" s="100"/>
      <c r="AL38" s="101"/>
    </row>
    <row r="39" spans="1:38" ht="31.5" x14ac:dyDescent="0.25">
      <c r="A39" s="112">
        <f t="shared" si="9"/>
        <v>37</v>
      </c>
      <c r="B39" s="112"/>
      <c r="C39" s="112"/>
      <c r="D39" s="112"/>
      <c r="E39" s="112"/>
      <c r="F39" s="112"/>
      <c r="G39" s="99" t="s">
        <v>148</v>
      </c>
      <c r="H39" s="99"/>
      <c r="I39" s="99"/>
      <c r="J39" s="99"/>
      <c r="K39" s="99"/>
      <c r="L39" s="99"/>
      <c r="M39" s="101" t="s">
        <v>151</v>
      </c>
      <c r="O39" s="97" t="s">
        <v>161</v>
      </c>
      <c r="P39" s="97" t="s">
        <v>180</v>
      </c>
      <c r="Q39" s="97" t="s">
        <v>183</v>
      </c>
      <c r="U39" s="100"/>
      <c r="V39" s="100">
        <v>34</v>
      </c>
      <c r="W39" s="101" t="str">
        <f t="shared" si="2"/>
        <v>ON</v>
      </c>
      <c r="X39" s="101"/>
      <c r="Y39" s="100" t="str">
        <f t="shared" ca="1" si="10"/>
        <v>$AJ$6 &lt; $AK$6</v>
      </c>
      <c r="Z39" s="100" t="str">
        <f t="shared" ca="1" si="11"/>
        <v>$AJ$6 = $AL$2</v>
      </c>
      <c r="AA39" s="100" t="str">
        <f t="shared" ca="1" si="12"/>
        <v>$AK$6 = "31/12/2100"</v>
      </c>
      <c r="AB39" s="100" t="str">
        <f t="shared" ca="1" si="13"/>
        <v/>
      </c>
      <c r="AC39" s="100" t="str">
        <f t="shared" ca="1" si="14"/>
        <v/>
      </c>
      <c r="AD39" s="100" t="str">
        <f t="shared" ca="1" si="15"/>
        <v/>
      </c>
      <c r="AF39" s="100" t="str">
        <f t="shared" ca="1" si="8"/>
        <v>AND($AJ$6 = $AL$2,$AK$6 = "31/12/2100")</v>
      </c>
      <c r="AG39" s="100" t="s">
        <v>231</v>
      </c>
      <c r="AI39" s="100"/>
      <c r="AJ39" s="100"/>
      <c r="AK39" s="100"/>
      <c r="AL39" s="101"/>
    </row>
    <row r="40" spans="1:38" ht="31.5" x14ac:dyDescent="0.25">
      <c r="A40" s="112">
        <f t="shared" si="9"/>
        <v>38</v>
      </c>
      <c r="B40" s="112"/>
      <c r="C40" s="112"/>
      <c r="D40" s="112"/>
      <c r="E40" s="112"/>
      <c r="F40" s="112"/>
      <c r="G40" s="112"/>
      <c r="H40" s="99" t="s">
        <v>148</v>
      </c>
      <c r="I40" s="99"/>
      <c r="J40" s="99"/>
      <c r="K40" s="99"/>
      <c r="L40" s="99"/>
      <c r="M40" s="101" t="s">
        <v>150</v>
      </c>
      <c r="O40" s="97" t="s">
        <v>161</v>
      </c>
      <c r="P40" s="97" t="s">
        <v>179</v>
      </c>
      <c r="Q40" s="97" t="s">
        <v>182</v>
      </c>
      <c r="R40" s="97" t="s">
        <v>183</v>
      </c>
      <c r="U40" s="100"/>
      <c r="V40" s="100">
        <v>15</v>
      </c>
      <c r="W40" s="101" t="str">
        <f t="shared" si="2"/>
        <v>OFF</v>
      </c>
      <c r="X40" s="101"/>
      <c r="Y40" s="100" t="str">
        <f t="shared" ca="1" si="10"/>
        <v>$AJ$6 &lt; $AK$6</v>
      </c>
      <c r="Z40" s="100" t="str">
        <f t="shared" ca="1" si="11"/>
        <v>$AJ$6 &gt; $AL$2</v>
      </c>
      <c r="AA40" s="100" t="str">
        <f t="shared" ca="1" si="12"/>
        <v>$AJ$6 &lt; $AK$2</v>
      </c>
      <c r="AB40" s="100" t="str">
        <f t="shared" ca="1" si="13"/>
        <v>$AK$6 = "31/12/2100"</v>
      </c>
      <c r="AC40" s="100" t="str">
        <f t="shared" ca="1" si="14"/>
        <v/>
      </c>
      <c r="AD40" s="100" t="str">
        <f t="shared" ca="1" si="15"/>
        <v/>
      </c>
      <c r="AF40" s="100" t="str">
        <f t="shared" ca="1" si="8"/>
        <v>AND($AJ$6 &gt; $AL$2,$AJ$6 &lt; $AK$2,$AK$6 = "31/12/2100")</v>
      </c>
      <c r="AG40" s="100" t="s">
        <v>232</v>
      </c>
      <c r="AI40" s="100"/>
      <c r="AJ40" s="100"/>
      <c r="AK40" s="100"/>
      <c r="AL40" s="101"/>
    </row>
    <row r="41" spans="1:38" ht="31.5" x14ac:dyDescent="0.25">
      <c r="A41" s="112">
        <f t="shared" si="9"/>
        <v>39</v>
      </c>
      <c r="B41" s="112"/>
      <c r="C41" s="112"/>
      <c r="D41" s="112"/>
      <c r="E41" s="112"/>
      <c r="F41" s="112"/>
      <c r="G41" s="112"/>
      <c r="H41" s="112"/>
      <c r="I41" s="112"/>
      <c r="J41" s="99" t="s">
        <v>148</v>
      </c>
      <c r="K41" s="99"/>
      <c r="L41" s="99"/>
      <c r="M41" s="101" t="s">
        <v>150</v>
      </c>
      <c r="O41" s="97" t="s">
        <v>161</v>
      </c>
      <c r="P41" s="97" t="s">
        <v>178</v>
      </c>
      <c r="Q41" s="97" t="s">
        <v>183</v>
      </c>
      <c r="U41" s="100"/>
      <c r="V41" s="100">
        <v>16</v>
      </c>
      <c r="W41" s="101" t="str">
        <f t="shared" si="2"/>
        <v>OFF</v>
      </c>
      <c r="X41" s="101"/>
      <c r="Y41" s="100" t="str">
        <f t="shared" ca="1" si="10"/>
        <v>$AJ$6 &lt; $AK$6</v>
      </c>
      <c r="Z41" s="100" t="str">
        <f t="shared" ca="1" si="11"/>
        <v>$AJ$6 = $AK$2</v>
      </c>
      <c r="AA41" s="100" t="str">
        <f t="shared" ca="1" si="12"/>
        <v>$AK$6 = "31/12/2100"</v>
      </c>
      <c r="AB41" s="100" t="str">
        <f t="shared" ca="1" si="13"/>
        <v/>
      </c>
      <c r="AC41" s="100" t="str">
        <f t="shared" ca="1" si="14"/>
        <v/>
      </c>
      <c r="AD41" s="100" t="str">
        <f t="shared" ca="1" si="15"/>
        <v/>
      </c>
      <c r="AF41" s="100" t="str">
        <f t="shared" ca="1" si="8"/>
        <v>AND($AJ$6 = $AK$2,$AK$6 = "31/12/2100")</v>
      </c>
      <c r="AG41" s="100" t="s">
        <v>233</v>
      </c>
      <c r="AI41" s="100"/>
      <c r="AJ41" s="100"/>
      <c r="AK41" s="100"/>
      <c r="AL41" s="101"/>
    </row>
    <row r="42" spans="1:38" ht="31.5" x14ac:dyDescent="0.25">
      <c r="A42" s="112">
        <f t="shared" si="9"/>
        <v>40</v>
      </c>
      <c r="B42" s="112"/>
      <c r="C42" s="112"/>
      <c r="D42" s="112"/>
      <c r="E42" s="112"/>
      <c r="F42" s="112"/>
      <c r="G42" s="112"/>
      <c r="H42" s="112"/>
      <c r="I42" s="112"/>
      <c r="J42" s="112"/>
      <c r="K42" s="99" t="s">
        <v>148</v>
      </c>
      <c r="L42" s="99"/>
      <c r="M42" s="101" t="s">
        <v>150</v>
      </c>
      <c r="O42" s="97" t="s">
        <v>161</v>
      </c>
      <c r="P42" s="97" t="s">
        <v>181</v>
      </c>
      <c r="Q42" s="97" t="s">
        <v>183</v>
      </c>
      <c r="U42" s="100"/>
      <c r="V42" s="100">
        <v>17</v>
      </c>
      <c r="W42" s="101" t="str">
        <f t="shared" si="2"/>
        <v>OFF</v>
      </c>
      <c r="X42" s="101"/>
      <c r="Y42" s="100" t="str">
        <f t="shared" ca="1" si="10"/>
        <v>$AJ$6 &lt; $AK$6</v>
      </c>
      <c r="Z42" s="100" t="str">
        <f t="shared" ca="1" si="11"/>
        <v>$AJ$6 &gt; $AK$2</v>
      </c>
      <c r="AA42" s="100" t="str">
        <f t="shared" ca="1" si="12"/>
        <v>$AK$6 = "31/12/2100"</v>
      </c>
      <c r="AB42" s="100" t="str">
        <f t="shared" ca="1" si="13"/>
        <v/>
      </c>
      <c r="AC42" s="100" t="str">
        <f t="shared" ca="1" si="14"/>
        <v/>
      </c>
      <c r="AD42" s="100" t="str">
        <f t="shared" ca="1" si="15"/>
        <v/>
      </c>
      <c r="AF42" s="100" t="str">
        <f t="shared" ca="1" si="8"/>
        <v>AND($AJ$6 &gt; $AK$2,$AK$6 = "31/12/2100")</v>
      </c>
      <c r="AG42" s="100" t="s">
        <v>234</v>
      </c>
      <c r="AI42" s="100"/>
      <c r="AJ42" s="100"/>
      <c r="AK42" s="100"/>
      <c r="AL42" s="101"/>
    </row>
    <row r="43" spans="1:38" x14ac:dyDescent="0.25">
      <c r="U43" s="100"/>
      <c r="V43" s="100"/>
      <c r="W43" s="100"/>
      <c r="X43" s="101"/>
      <c r="AI43" s="100"/>
      <c r="AJ43" s="100"/>
      <c r="AK43" s="100"/>
      <c r="AL43" s="101"/>
    </row>
    <row r="44" spans="1:38" x14ac:dyDescent="0.25">
      <c r="U44" s="100"/>
      <c r="V44" s="100"/>
      <c r="W44" s="100"/>
      <c r="X44" s="100"/>
      <c r="AI44" s="100"/>
      <c r="AJ44" s="100"/>
      <c r="AK44" s="100"/>
      <c r="AL44" s="101"/>
    </row>
    <row r="45" spans="1:38" x14ac:dyDescent="0.25">
      <c r="U45" s="100"/>
      <c r="V45" s="100"/>
      <c r="W45" s="100"/>
      <c r="X45" s="100"/>
      <c r="AF45" s="117"/>
      <c r="AG45" s="117"/>
      <c r="AH45" s="117"/>
      <c r="AI45" s="118"/>
      <c r="AJ45" s="100"/>
      <c r="AK45" s="118"/>
      <c r="AL45" s="119"/>
    </row>
    <row r="46" spans="1:38" ht="25.5" x14ac:dyDescent="0.25">
      <c r="A46" s="43" t="s">
        <v>241</v>
      </c>
      <c r="U46" s="100"/>
      <c r="V46" s="100"/>
      <c r="W46" s="100"/>
      <c r="X46" s="100"/>
      <c r="AI46" s="100"/>
      <c r="AJ46" s="100"/>
      <c r="AK46" s="118"/>
      <c r="AL46" s="119"/>
    </row>
    <row r="47" spans="1:38" s="96" customFormat="1" ht="31.5" x14ac:dyDescent="0.25">
      <c r="A47" s="98" t="s">
        <v>157</v>
      </c>
      <c r="B47" s="348" t="s">
        <v>144</v>
      </c>
      <c r="C47" s="349"/>
      <c r="D47" s="122" t="s">
        <v>145</v>
      </c>
      <c r="E47" s="348" t="s">
        <v>239</v>
      </c>
      <c r="F47" s="349"/>
      <c r="G47" s="122" t="s">
        <v>146</v>
      </c>
      <c r="H47" s="348" t="s">
        <v>147</v>
      </c>
      <c r="I47" s="349"/>
      <c r="J47" s="123"/>
      <c r="U47" s="100"/>
      <c r="V47" s="100"/>
      <c r="W47" s="100"/>
      <c r="X47" s="100"/>
      <c r="Y47" s="100"/>
      <c r="Z47" s="100"/>
      <c r="AA47" s="100"/>
      <c r="AB47" s="100"/>
      <c r="AC47" s="100"/>
      <c r="AD47" s="100"/>
      <c r="AE47" s="100"/>
      <c r="AF47" s="100"/>
      <c r="AG47" s="100"/>
      <c r="AH47" s="100"/>
      <c r="AI47" s="118"/>
      <c r="AJ47" s="100"/>
      <c r="AK47" s="118"/>
      <c r="AL47" s="118"/>
    </row>
    <row r="48" spans="1:38" x14ac:dyDescent="0.25">
      <c r="A48" s="121">
        <v>1</v>
      </c>
      <c r="B48" s="120" t="s">
        <v>148</v>
      </c>
      <c r="C48" s="120" t="s">
        <v>149</v>
      </c>
      <c r="D48" s="121"/>
      <c r="E48" s="121"/>
      <c r="F48" s="121"/>
      <c r="G48" s="121"/>
      <c r="H48" s="121"/>
      <c r="I48" s="121"/>
      <c r="J48" s="119" t="s">
        <v>242</v>
      </c>
      <c r="U48" s="100"/>
      <c r="V48" s="100"/>
      <c r="W48" s="100"/>
      <c r="X48" s="100"/>
      <c r="AI48" s="118"/>
      <c r="AJ48" s="100"/>
      <c r="AK48" s="118"/>
      <c r="AL48" s="119"/>
    </row>
    <row r="49" spans="1:10" x14ac:dyDescent="0.25">
      <c r="A49" s="121">
        <v>2</v>
      </c>
      <c r="B49" s="120" t="s">
        <v>148</v>
      </c>
      <c r="C49" s="120"/>
      <c r="D49" s="120" t="s">
        <v>149</v>
      </c>
      <c r="E49" s="121"/>
      <c r="F49" s="121"/>
      <c r="G49" s="121"/>
      <c r="H49" s="121"/>
      <c r="I49" s="121"/>
      <c r="J49" s="119" t="s">
        <v>243</v>
      </c>
    </row>
    <row r="50" spans="1:10" x14ac:dyDescent="0.25">
      <c r="A50" s="121">
        <v>3</v>
      </c>
      <c r="B50" s="120" t="s">
        <v>148</v>
      </c>
      <c r="C50" s="120"/>
      <c r="D50" s="120"/>
      <c r="E50" s="120" t="s">
        <v>149</v>
      </c>
      <c r="F50" s="121"/>
      <c r="G50" s="121"/>
      <c r="H50" s="121"/>
      <c r="I50" s="121"/>
      <c r="J50" s="119" t="s">
        <v>243</v>
      </c>
    </row>
    <row r="51" spans="1:10" x14ac:dyDescent="0.25">
      <c r="A51" s="121">
        <v>4</v>
      </c>
      <c r="B51" s="120" t="s">
        <v>148</v>
      </c>
      <c r="C51" s="120"/>
      <c r="D51" s="120"/>
      <c r="E51" s="120"/>
      <c r="F51" s="120"/>
      <c r="G51" s="120" t="s">
        <v>149</v>
      </c>
      <c r="H51" s="121"/>
      <c r="I51" s="121"/>
      <c r="J51" s="119" t="s">
        <v>243</v>
      </c>
    </row>
    <row r="52" spans="1:10" x14ac:dyDescent="0.25">
      <c r="A52" s="121">
        <v>5</v>
      </c>
      <c r="B52" s="120" t="s">
        <v>148</v>
      </c>
      <c r="C52" s="120"/>
      <c r="D52" s="120"/>
      <c r="E52" s="120"/>
      <c r="F52" s="120"/>
      <c r="G52" s="120"/>
      <c r="H52" s="120" t="s">
        <v>149</v>
      </c>
      <c r="I52" s="121"/>
      <c r="J52" s="119" t="s">
        <v>243</v>
      </c>
    </row>
    <row r="53" spans="1:10" x14ac:dyDescent="0.25">
      <c r="A53" s="121">
        <v>6</v>
      </c>
      <c r="B53" s="121"/>
      <c r="C53" s="121"/>
      <c r="D53" s="120" t="s">
        <v>148</v>
      </c>
      <c r="E53" s="120" t="s">
        <v>149</v>
      </c>
      <c r="F53" s="121"/>
      <c r="G53" s="121"/>
      <c r="H53" s="121"/>
      <c r="I53" s="121"/>
      <c r="J53" s="119" t="s">
        <v>243</v>
      </c>
    </row>
    <row r="54" spans="1:10" x14ac:dyDescent="0.25">
      <c r="A54" s="121">
        <v>7</v>
      </c>
      <c r="B54" s="121"/>
      <c r="C54" s="121"/>
      <c r="D54" s="120" t="s">
        <v>148</v>
      </c>
      <c r="E54" s="120"/>
      <c r="F54" s="120"/>
      <c r="G54" s="120" t="s">
        <v>149</v>
      </c>
      <c r="H54" s="121"/>
      <c r="I54" s="121"/>
      <c r="J54" s="119" t="s">
        <v>243</v>
      </c>
    </row>
    <row r="55" spans="1:10" x14ac:dyDescent="0.25">
      <c r="A55" s="121">
        <v>8</v>
      </c>
      <c r="B55" s="121"/>
      <c r="C55" s="121"/>
      <c r="D55" s="120" t="s">
        <v>148</v>
      </c>
      <c r="E55" s="120"/>
      <c r="F55" s="120"/>
      <c r="G55" s="120"/>
      <c r="H55" s="120" t="s">
        <v>149</v>
      </c>
      <c r="I55" s="121"/>
      <c r="J55" s="119" t="s">
        <v>243</v>
      </c>
    </row>
    <row r="56" spans="1:10" x14ac:dyDescent="0.25">
      <c r="A56" s="121">
        <v>9</v>
      </c>
      <c r="B56" s="121"/>
      <c r="C56" s="121"/>
      <c r="D56" s="121"/>
      <c r="E56" s="120" t="s">
        <v>148</v>
      </c>
      <c r="F56" s="120" t="s">
        <v>149</v>
      </c>
      <c r="G56" s="121"/>
      <c r="H56" s="121"/>
      <c r="I56" s="121"/>
      <c r="J56" s="119" t="s">
        <v>243</v>
      </c>
    </row>
    <row r="57" spans="1:10" x14ac:dyDescent="0.25">
      <c r="A57" s="121">
        <v>10</v>
      </c>
      <c r="B57" s="121"/>
      <c r="C57" s="121"/>
      <c r="D57" s="121"/>
      <c r="E57" s="120" t="s">
        <v>148</v>
      </c>
      <c r="F57" s="120"/>
      <c r="G57" s="120" t="s">
        <v>149</v>
      </c>
      <c r="H57" s="121"/>
      <c r="I57" s="121"/>
      <c r="J57" s="119" t="s">
        <v>243</v>
      </c>
    </row>
    <row r="58" spans="1:10" x14ac:dyDescent="0.25">
      <c r="A58" s="121">
        <v>11</v>
      </c>
      <c r="B58" s="121"/>
      <c r="C58" s="121"/>
      <c r="D58" s="121"/>
      <c r="E58" s="120" t="s">
        <v>148</v>
      </c>
      <c r="F58" s="120"/>
      <c r="G58" s="120"/>
      <c r="H58" s="120" t="s">
        <v>149</v>
      </c>
      <c r="I58" s="121"/>
      <c r="J58" s="119" t="s">
        <v>243</v>
      </c>
    </row>
    <row r="59" spans="1:10" x14ac:dyDescent="0.25">
      <c r="A59" s="121">
        <v>12</v>
      </c>
      <c r="B59" s="121"/>
      <c r="C59" s="121"/>
      <c r="D59" s="121"/>
      <c r="E59" s="121"/>
      <c r="F59" s="121"/>
      <c r="G59" s="120" t="s">
        <v>148</v>
      </c>
      <c r="H59" s="120" t="s">
        <v>149</v>
      </c>
      <c r="I59" s="121"/>
      <c r="J59" s="119" t="s">
        <v>243</v>
      </c>
    </row>
    <row r="60" spans="1:10" x14ac:dyDescent="0.25">
      <c r="A60" s="121">
        <v>13</v>
      </c>
      <c r="B60" s="121"/>
      <c r="C60" s="121"/>
      <c r="D60" s="121"/>
      <c r="E60" s="121"/>
      <c r="F60" s="121"/>
      <c r="G60" s="121"/>
      <c r="H60" s="120" t="s">
        <v>148</v>
      </c>
      <c r="I60" s="120" t="s">
        <v>149</v>
      </c>
      <c r="J60" s="119" t="s">
        <v>244</v>
      </c>
    </row>
    <row r="61" spans="1:10" x14ac:dyDescent="0.25">
      <c r="A61" s="121">
        <v>14</v>
      </c>
      <c r="B61" s="120" t="s">
        <v>148</v>
      </c>
      <c r="C61" s="120"/>
      <c r="D61" s="120"/>
      <c r="E61" s="120"/>
      <c r="F61" s="120"/>
      <c r="G61" s="120"/>
      <c r="H61" s="120"/>
      <c r="I61" s="120"/>
      <c r="J61" s="119" t="s">
        <v>243</v>
      </c>
    </row>
    <row r="62" spans="1:10" x14ac:dyDescent="0.25">
      <c r="A62" s="121">
        <v>15</v>
      </c>
      <c r="B62" s="121"/>
      <c r="C62" s="121"/>
      <c r="D62" s="120" t="s">
        <v>148</v>
      </c>
      <c r="E62" s="120"/>
      <c r="F62" s="120"/>
      <c r="G62" s="120"/>
      <c r="H62" s="120"/>
      <c r="I62" s="120"/>
      <c r="J62" s="119" t="s">
        <v>243</v>
      </c>
    </row>
    <row r="63" spans="1:10" x14ac:dyDescent="0.25">
      <c r="A63" s="121">
        <v>16</v>
      </c>
      <c r="B63" s="121"/>
      <c r="C63" s="121"/>
      <c r="D63" s="121"/>
      <c r="E63" s="120" t="s">
        <v>148</v>
      </c>
      <c r="F63" s="120"/>
      <c r="G63" s="120"/>
      <c r="H63" s="120"/>
      <c r="I63" s="120"/>
      <c r="J63" s="119" t="s">
        <v>243</v>
      </c>
    </row>
  </sheetData>
  <autoFilter ref="A2:AL43" xr:uid="{DE23BB1B-3A2B-431F-AB2E-37C75F29B16F}"/>
  <mergeCells count="5">
    <mergeCell ref="K2:L2"/>
    <mergeCell ref="B2:C2"/>
    <mergeCell ref="B47:C47"/>
    <mergeCell ref="E47:F47"/>
    <mergeCell ref="H47:I47"/>
  </mergeCells>
  <phoneticPr fontId="1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HDSD</vt:lpstr>
      <vt:lpstr>IV.Dashboard</vt:lpstr>
      <vt:lpstr>DB's Data</vt:lpstr>
      <vt:lpstr>III.Report năm</vt:lpstr>
      <vt:lpstr>II.Theo dõi sổ thẻ</vt:lpstr>
      <vt:lpstr>I.QTBH</vt:lpstr>
      <vt:lpstr>Cách Suy nghĩ</vt:lpstr>
    </vt:vector>
  </TitlesOfParts>
  <Company>TVIS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 PLACE</dc:creator>
  <cp:lastModifiedBy>Admin</cp:lastModifiedBy>
  <cp:lastPrinted>2018-01-23T02:58:42Z</cp:lastPrinted>
  <dcterms:created xsi:type="dcterms:W3CDTF">2012-12-03T07:56:07Z</dcterms:created>
  <dcterms:modified xsi:type="dcterms:W3CDTF">2020-12-27T06:51:18Z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6bb65e4c-6ba8-47df-a219-9b6dc920b666</vt:lpwstr>
  </property>
</Properties>
</file>