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Documents\Dam Anh Tu - Pharvina\Start-up dao tao Excel C&amp;B\Dao tao Nhan su - C&amp;B\Mau bang luong va VD tinh luong\_Bieu mau luong\"/>
    </mc:Choice>
  </mc:AlternateContent>
  <xr:revisionPtr revIDLastSave="0" documentId="13_ncr:1_{DBCD0D37-8E92-4166-ABFA-706DC34E69D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DSD" sheetId="9" r:id="rId1"/>
    <sheet name="Cách suy nghĩ 2" sheetId="11" state="hidden" r:id="rId2"/>
    <sheet name="DBoard" sheetId="13" r:id="rId3"/>
    <sheet name="DB's Data" sheetId="14" state="hidden" r:id="rId4"/>
    <sheet name="Phép 2020" sheetId="8" r:id="rId5"/>
    <sheet name="Data DSNV" sheetId="12" r:id="rId6"/>
  </sheets>
  <definedNames>
    <definedName name="_xlnm._FilterDatabase" localSheetId="1" hidden="1">'Cách suy nghĩ 2'!$A$15:$Y$95</definedName>
    <definedName name="_xlnm._FilterDatabase" localSheetId="4" hidden="1">'Phép 2020'!$A$5:$AN$28</definedName>
  </definedNames>
  <calcPr calcId="191029"/>
</workbook>
</file>

<file path=xl/calcChain.xml><?xml version="1.0" encoding="utf-8"?>
<calcChain xmlns="http://schemas.openxmlformats.org/spreadsheetml/2006/main">
  <c r="H31" i="13" l="1"/>
  <c r="C31" i="13"/>
  <c r="H19" i="13"/>
  <c r="E19" i="13"/>
  <c r="H5" i="13"/>
  <c r="C5" i="13"/>
  <c r="E20" i="13"/>
  <c r="N14" i="13"/>
  <c r="J14" i="13"/>
  <c r="N11" i="13"/>
  <c r="J11" i="13"/>
  <c r="E11" i="13"/>
  <c r="A3" i="14" l="1"/>
  <c r="C3" i="14" s="1"/>
  <c r="J5" i="13"/>
  <c r="L5" i="13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6" i="8"/>
  <c r="B3" i="14" l="1"/>
  <c r="J3" i="14"/>
  <c r="F3" i="14"/>
  <c r="M3" i="14"/>
  <c r="I3" i="14"/>
  <c r="E3" i="14"/>
  <c r="L3" i="14"/>
  <c r="H3" i="14"/>
  <c r="D3" i="14"/>
  <c r="K3" i="14"/>
  <c r="G3" i="14"/>
  <c r="C7" i="8" l="1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6" i="8"/>
  <c r="AB7" i="8" l="1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6" i="8"/>
  <c r="C26" i="13" s="1"/>
  <c r="A95" i="11" l="1"/>
  <c r="A51" i="11" l="1"/>
  <c r="A52" i="11"/>
  <c r="A40" i="11"/>
  <c r="A41" i="11"/>
  <c r="A42" i="11"/>
  <c r="A93" i="11" l="1"/>
  <c r="A94" i="11"/>
  <c r="A92" i="11"/>
  <c r="A90" i="11"/>
  <c r="A91" i="11"/>
  <c r="A89" i="11"/>
  <c r="A87" i="11"/>
  <c r="A88" i="11"/>
  <c r="A82" i="11"/>
  <c r="A83" i="11"/>
  <c r="A84" i="11"/>
  <c r="A85" i="11"/>
  <c r="A76" i="11"/>
  <c r="A77" i="11"/>
  <c r="A78" i="11"/>
  <c r="A79" i="11"/>
  <c r="A80" i="11"/>
  <c r="A70" i="11"/>
  <c r="A71" i="11"/>
  <c r="A72" i="11"/>
  <c r="A73" i="11"/>
  <c r="A74" i="11"/>
  <c r="A63" i="11"/>
  <c r="A64" i="11"/>
  <c r="A62" i="11"/>
  <c r="A65" i="11"/>
  <c r="A66" i="11"/>
  <c r="A67" i="11"/>
  <c r="A68" i="11"/>
  <c r="A69" i="11"/>
  <c r="R58" i="11"/>
  <c r="R59" i="11"/>
  <c r="R60" i="11"/>
  <c r="R57" i="11"/>
  <c r="R56" i="11"/>
  <c r="R55" i="11"/>
  <c r="R54" i="11"/>
  <c r="R53" i="11"/>
  <c r="A53" i="11"/>
  <c r="A54" i="11"/>
  <c r="A55" i="11"/>
  <c r="A56" i="11"/>
  <c r="A57" i="11"/>
  <c r="A58" i="11"/>
  <c r="A59" i="11"/>
  <c r="A60" i="11"/>
  <c r="R45" i="11" l="1"/>
  <c r="R44" i="11"/>
  <c r="R43" i="11"/>
  <c r="R42" i="11"/>
  <c r="A43" i="11"/>
  <c r="A44" i="11"/>
  <c r="A45" i="11"/>
  <c r="A46" i="11"/>
  <c r="A47" i="11"/>
  <c r="A48" i="11"/>
  <c r="A49" i="11"/>
  <c r="A50" i="11"/>
  <c r="A38" i="11"/>
  <c r="A37" i="11"/>
  <c r="A29" i="11"/>
  <c r="A30" i="11"/>
  <c r="A31" i="11"/>
  <c r="A32" i="11"/>
  <c r="A33" i="11"/>
  <c r="A34" i="11"/>
  <c r="A35" i="11"/>
  <c r="A36" i="11"/>
  <c r="A39" i="11"/>
  <c r="A61" i="11"/>
  <c r="A75" i="11"/>
  <c r="A81" i="11"/>
  <c r="A8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16" i="11"/>
  <c r="AC7" i="8" l="1"/>
  <c r="AC8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6" i="8"/>
  <c r="G26" i="13" s="1"/>
  <c r="J26" i="13" s="1"/>
  <c r="AD6" i="8"/>
  <c r="C32" i="13" s="1"/>
  <c r="AB4" i="8" l="1"/>
  <c r="AC4" i="8"/>
  <c r="I25" i="8"/>
  <c r="J25" i="8" s="1"/>
  <c r="K25" i="8" s="1"/>
  <c r="I24" i="8"/>
  <c r="J24" i="8" s="1"/>
  <c r="K24" i="8" s="1"/>
  <c r="I23" i="8"/>
  <c r="J23" i="8" s="1"/>
  <c r="K23" i="8" s="1"/>
  <c r="I22" i="8"/>
  <c r="J22" i="8" s="1"/>
  <c r="K22" i="8" s="1"/>
  <c r="I21" i="8"/>
  <c r="J21" i="8" s="1"/>
  <c r="K21" i="8" s="1"/>
  <c r="I20" i="8"/>
  <c r="J20" i="8" s="1"/>
  <c r="K20" i="8" s="1"/>
  <c r="I19" i="8"/>
  <c r="J19" i="8" s="1"/>
  <c r="K19" i="8" s="1"/>
  <c r="I18" i="8"/>
  <c r="J18" i="8" s="1"/>
  <c r="K18" i="8" s="1"/>
  <c r="I17" i="8"/>
  <c r="J17" i="8" s="1"/>
  <c r="K17" i="8" s="1"/>
  <c r="I16" i="8"/>
  <c r="J16" i="8" s="1"/>
  <c r="K16" i="8" s="1"/>
  <c r="I15" i="8"/>
  <c r="J15" i="8" s="1"/>
  <c r="K15" i="8" s="1"/>
  <c r="I14" i="8"/>
  <c r="J14" i="8" s="1"/>
  <c r="K14" i="8" s="1"/>
  <c r="I13" i="8"/>
  <c r="J13" i="8" s="1"/>
  <c r="K13" i="8" s="1"/>
  <c r="I12" i="8"/>
  <c r="J12" i="8" s="1"/>
  <c r="K12" i="8" s="1"/>
  <c r="I11" i="8"/>
  <c r="J11" i="8" s="1"/>
  <c r="K11" i="8" s="1"/>
  <c r="I10" i="8"/>
  <c r="J10" i="8" s="1"/>
  <c r="K10" i="8" s="1"/>
  <c r="I9" i="8"/>
  <c r="J9" i="8" s="1"/>
  <c r="K9" i="8" s="1"/>
  <c r="I8" i="8"/>
  <c r="J8" i="8" s="1"/>
  <c r="K8" i="8" s="1"/>
  <c r="I7" i="8"/>
  <c r="J7" i="8" s="1"/>
  <c r="K7" i="8" s="1"/>
  <c r="I6" i="8"/>
  <c r="J6" i="8" s="1"/>
  <c r="K6" i="8" s="1"/>
  <c r="C20" i="13" s="1"/>
  <c r="AG4" i="8"/>
  <c r="AA4" i="8"/>
  <c r="Z4" i="8"/>
  <c r="Y4" i="8"/>
  <c r="X4" i="8"/>
  <c r="W4" i="8"/>
  <c r="V4" i="8"/>
  <c r="U4" i="8"/>
  <c r="T4" i="8"/>
  <c r="S4" i="8"/>
  <c r="R4" i="8"/>
  <c r="Q4" i="8"/>
  <c r="P4" i="8"/>
  <c r="AD21" i="8" l="1"/>
  <c r="AD22" i="8"/>
  <c r="AD24" i="8" l="1"/>
  <c r="AD20" i="8"/>
  <c r="AD9" i="8"/>
  <c r="AD12" i="8"/>
  <c r="AD15" i="8"/>
  <c r="AD25" i="8"/>
  <c r="AD7" i="8"/>
  <c r="AD16" i="8"/>
  <c r="AD10" i="8"/>
  <c r="AD11" i="8"/>
  <c r="AD17" i="8"/>
  <c r="AD23" i="8"/>
  <c r="AD18" i="8"/>
  <c r="AD13" i="8"/>
  <c r="AD14" i="8"/>
  <c r="AD8" i="8"/>
  <c r="AD19" i="8"/>
  <c r="M4" i="8" l="1"/>
  <c r="AD4" i="8" l="1"/>
  <c r="M5" i="8" l="1"/>
  <c r="L5" i="8"/>
  <c r="N5" i="8"/>
  <c r="AE5" i="8"/>
  <c r="AD5" i="8"/>
  <c r="P5" i="13"/>
  <c r="E5" i="13"/>
  <c r="L23" i="8" s="1"/>
  <c r="L8" i="8" l="1"/>
  <c r="L18" i="8"/>
  <c r="L12" i="8"/>
  <c r="L10" i="8"/>
  <c r="L25" i="8"/>
  <c r="L20" i="8"/>
  <c r="L7" i="8"/>
  <c r="N22" i="8"/>
  <c r="N24" i="8"/>
  <c r="N12" i="8"/>
  <c r="N23" i="8"/>
  <c r="N15" i="8"/>
  <c r="N16" i="8"/>
  <c r="N14" i="8"/>
  <c r="N11" i="8"/>
  <c r="N8" i="8"/>
  <c r="N19" i="8"/>
  <c r="L11" i="8"/>
  <c r="L16" i="8"/>
  <c r="A1" i="14"/>
  <c r="G31" i="13"/>
  <c r="L14" i="8"/>
  <c r="L9" i="8"/>
  <c r="N21" i="8"/>
  <c r="N10" i="8"/>
  <c r="N20" i="8"/>
  <c r="N25" i="8"/>
  <c r="N9" i="8"/>
  <c r="N17" i="8"/>
  <c r="N7" i="8"/>
  <c r="N13" i="8"/>
  <c r="N18" i="8"/>
  <c r="N6" i="8"/>
  <c r="L15" i="8"/>
  <c r="L22" i="8"/>
  <c r="L17" i="8"/>
  <c r="L6" i="8"/>
  <c r="L21" i="8"/>
  <c r="L19" i="8"/>
  <c r="L13" i="8"/>
  <c r="L24" i="8"/>
  <c r="AE8" i="8" l="1"/>
  <c r="AF8" i="8" s="1"/>
  <c r="AH8" i="8" s="1"/>
  <c r="O8" i="8"/>
  <c r="AE15" i="8"/>
  <c r="AF15" i="8" s="1"/>
  <c r="AH15" i="8" s="1"/>
  <c r="O15" i="8"/>
  <c r="AE22" i="8"/>
  <c r="AF22" i="8" s="1"/>
  <c r="AH22" i="8" s="1"/>
  <c r="O22" i="8"/>
  <c r="AE7" i="8"/>
  <c r="AF7" i="8" s="1"/>
  <c r="AH7" i="8" s="1"/>
  <c r="O7" i="8"/>
  <c r="AE20" i="8"/>
  <c r="AF20" i="8" s="1"/>
  <c r="AH20" i="8" s="1"/>
  <c r="O20" i="8"/>
  <c r="AE11" i="8"/>
  <c r="AF11" i="8" s="1"/>
  <c r="AH11" i="8" s="1"/>
  <c r="O11" i="8"/>
  <c r="AE23" i="8"/>
  <c r="AF23" i="8" s="1"/>
  <c r="AH23" i="8" s="1"/>
  <c r="O23" i="8"/>
  <c r="AE13" i="8"/>
  <c r="AF13" i="8" s="1"/>
  <c r="AH13" i="8" s="1"/>
  <c r="O13" i="8"/>
  <c r="O6" i="8"/>
  <c r="AE6" i="8"/>
  <c r="AK6" i="8" s="1"/>
  <c r="H20" i="13"/>
  <c r="J20" i="13" s="1"/>
  <c r="N4" i="8"/>
  <c r="AE10" i="8"/>
  <c r="AF10" i="8" s="1"/>
  <c r="AH10" i="8" s="1"/>
  <c r="O10" i="8"/>
  <c r="K2" i="14"/>
  <c r="G2" i="14"/>
  <c r="C2" i="14"/>
  <c r="B2" i="14"/>
  <c r="J2" i="14"/>
  <c r="D2" i="14"/>
  <c r="L2" i="14"/>
  <c r="F2" i="14"/>
  <c r="I2" i="14"/>
  <c r="M2" i="14"/>
  <c r="E2" i="14"/>
  <c r="H2" i="14"/>
  <c r="AE14" i="8"/>
  <c r="AF14" i="8" s="1"/>
  <c r="AH14" i="8" s="1"/>
  <c r="O14" i="8"/>
  <c r="AE12" i="8"/>
  <c r="AF12" i="8" s="1"/>
  <c r="AH12" i="8" s="1"/>
  <c r="O12" i="8"/>
  <c r="AE25" i="8"/>
  <c r="AF25" i="8" s="1"/>
  <c r="AH25" i="8" s="1"/>
  <c r="O25" i="8"/>
  <c r="L4" i="8"/>
  <c r="AE17" i="8"/>
  <c r="AF17" i="8" s="1"/>
  <c r="AH17" i="8" s="1"/>
  <c r="O17" i="8"/>
  <c r="AE18" i="8"/>
  <c r="AF18" i="8" s="1"/>
  <c r="AH18" i="8" s="1"/>
  <c r="O18" i="8"/>
  <c r="AE9" i="8"/>
  <c r="AF9" i="8" s="1"/>
  <c r="AH9" i="8" s="1"/>
  <c r="O9" i="8"/>
  <c r="AE21" i="8"/>
  <c r="AF21" i="8" s="1"/>
  <c r="AH21" i="8" s="1"/>
  <c r="O21" i="8"/>
  <c r="AE19" i="8"/>
  <c r="AF19" i="8" s="1"/>
  <c r="AH19" i="8" s="1"/>
  <c r="O19" i="8"/>
  <c r="AE16" i="8"/>
  <c r="AF16" i="8" s="1"/>
  <c r="AH16" i="8" s="1"/>
  <c r="O16" i="8"/>
  <c r="AE24" i="8"/>
  <c r="AF24" i="8" s="1"/>
  <c r="AH24" i="8" s="1"/>
  <c r="O24" i="8"/>
  <c r="AK10" i="8" l="1"/>
  <c r="AK13" i="8"/>
  <c r="AK9" i="8"/>
  <c r="AK12" i="8"/>
  <c r="AK23" i="8"/>
  <c r="AK20" i="8"/>
  <c r="AK15" i="8"/>
  <c r="AK16" i="8"/>
  <c r="AK24" i="8"/>
  <c r="AK21" i="8"/>
  <c r="AK19" i="8"/>
  <c r="AK18" i="8"/>
  <c r="AK17" i="8"/>
  <c r="AK25" i="8"/>
  <c r="AK7" i="8"/>
  <c r="AK22" i="8"/>
  <c r="AK14" i="8"/>
  <c r="AE4" i="8"/>
  <c r="H32" i="13"/>
  <c r="AF6" i="8"/>
  <c r="O4" i="8"/>
  <c r="AK11" i="8"/>
  <c r="AK8" i="8"/>
  <c r="AL11" i="13" l="1"/>
  <c r="AF4" i="8"/>
  <c r="AH6" i="8"/>
  <c r="AH4" i="8" s="1"/>
  <c r="J3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Sửa lại khi sang năm mới</t>
        </r>
      </text>
    </comment>
    <comment ref="H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Sửa lại khi sang tháng mới</t>
        </r>
      </text>
    </comment>
  </commentList>
</comments>
</file>

<file path=xl/sharedStrings.xml><?xml version="1.0" encoding="utf-8"?>
<sst xmlns="http://schemas.openxmlformats.org/spreadsheetml/2006/main" count="1474" uniqueCount="517">
  <si>
    <t>STT</t>
  </si>
  <si>
    <t>Mã Nhân viên</t>
  </si>
  <si>
    <t>Họ và Tên</t>
  </si>
  <si>
    <t>Ngày vào công ty</t>
  </si>
  <si>
    <t>Trần Thị Thu</t>
  </si>
  <si>
    <t>Đặng Thị Loan</t>
  </si>
  <si>
    <t>Nguyễn Thùy Linh</t>
  </si>
  <si>
    <t>Nguyễn Thị Mai</t>
  </si>
  <si>
    <t>Nguyễn Thị Thu Hương</t>
  </si>
  <si>
    <t>Nguyễn Như Quỳnh</t>
  </si>
  <si>
    <t>Nguyễn Thu Thủy</t>
  </si>
  <si>
    <t>Tổng Phép</t>
  </si>
  <si>
    <t>T9</t>
  </si>
  <si>
    <t>T10</t>
  </si>
  <si>
    <t>T11</t>
  </si>
  <si>
    <t>T12</t>
  </si>
  <si>
    <t>Tổng số phép còn lại</t>
  </si>
  <si>
    <t>Tháng hiện tại</t>
  </si>
  <si>
    <t>Sử dụng ở cột này</t>
  </si>
  <si>
    <t>T1</t>
  </si>
  <si>
    <t>T2</t>
  </si>
  <si>
    <t>T3</t>
  </si>
  <si>
    <t>T4</t>
  </si>
  <si>
    <t>T5</t>
  </si>
  <si>
    <t>T6</t>
  </si>
  <si>
    <t>T7</t>
  </si>
  <si>
    <t>T8</t>
  </si>
  <si>
    <t>Phép năm thâm niên</t>
  </si>
  <si>
    <t>Đơn vị</t>
  </si>
  <si>
    <t>0001</t>
  </si>
  <si>
    <t>0002</t>
  </si>
  <si>
    <t>0003</t>
  </si>
  <si>
    <t>0011</t>
  </si>
  <si>
    <t>0010</t>
  </si>
  <si>
    <t>0019</t>
  </si>
  <si>
    <t>0013</t>
  </si>
  <si>
    <t>0012</t>
  </si>
  <si>
    <t>Công Thị Thanh Hiếu</t>
  </si>
  <si>
    <t>0014</t>
  </si>
  <si>
    <t>0018</t>
  </si>
  <si>
    <t>0006</t>
  </si>
  <si>
    <t>0008</t>
  </si>
  <si>
    <t>0005</t>
  </si>
  <si>
    <t>0004</t>
  </si>
  <si>
    <t>0017</t>
  </si>
  <si>
    <t>0009</t>
  </si>
  <si>
    <t>0015</t>
  </si>
  <si>
    <t>0007</t>
  </si>
  <si>
    <t>Phạm Thị Thanh Thúy</t>
  </si>
  <si>
    <t>0020</t>
  </si>
  <si>
    <t>Lê Thị Giang</t>
  </si>
  <si>
    <t>Thâm niên</t>
  </si>
  <si>
    <t>DANH SÁCH THEO DÕI NGHỈ PHÉP</t>
  </si>
  <si>
    <t>Nguyễn Thị Hiền</t>
  </si>
  <si>
    <t>Phạm Thị Hằng</t>
  </si>
  <si>
    <t>Ngày nghỉ việc</t>
  </si>
  <si>
    <t>Ghi chú</t>
  </si>
  <si>
    <t>Trạng thái</t>
  </si>
  <si>
    <t>Đang làm việc</t>
  </si>
  <si>
    <t>00. Ban Giám đốc</t>
  </si>
  <si>
    <t>02. Phòng Kinh doanh</t>
  </si>
  <si>
    <t>03. Phòng Kế toán</t>
  </si>
  <si>
    <t>01. Phòng Hành chính nhân sự</t>
  </si>
  <si>
    <t>Ngày bắt đầu hợp đồng chính thức</t>
  </si>
  <si>
    <t>Thâm niên (quy đổi ra 5 năm)</t>
  </si>
  <si>
    <t>Tháng gia hạn phép</t>
  </si>
  <si>
    <t>Check</t>
  </si>
  <si>
    <t>Bùi Thanh Hương</t>
  </si>
  <si>
    <t>Ngô Thị Dung</t>
  </si>
  <si>
    <t>Nguyễn Thu Hồng</t>
  </si>
  <si>
    <t>Trần Minh Huệ</t>
  </si>
  <si>
    <t>Số phép đã thanh toán</t>
  </si>
  <si>
    <t>Số phép còn lại sau thanh toán</t>
  </si>
  <si>
    <t>Nguyễn Hồng Ánh</t>
  </si>
  <si>
    <t>Tháng năm</t>
  </si>
  <si>
    <t>Năm</t>
  </si>
  <si>
    <t>Phạm Văn Tiến</t>
  </si>
  <si>
    <t>0016</t>
  </si>
  <si>
    <t>Nguyễn Thị Thương</t>
  </si>
  <si>
    <t>04. Cửa hàng 01</t>
  </si>
  <si>
    <t>05. Cửa hàng 02</t>
  </si>
  <si>
    <t>Thành viên Ban Giám đốc</t>
  </si>
  <si>
    <t>Giám đốc</t>
  </si>
  <si>
    <t>Trưởng phòng Hành chính nhân sự</t>
  </si>
  <si>
    <t>Trợ lý Giám đốc</t>
  </si>
  <si>
    <t>Nhân viên Hành chính lễ tân</t>
  </si>
  <si>
    <t>Trưởng phòng Kinh doanh</t>
  </si>
  <si>
    <t>Nhân viên kinh doanh</t>
  </si>
  <si>
    <t>Nhân viên kế toán công nợ</t>
  </si>
  <si>
    <t>Nhân viên Kế toán thuế</t>
  </si>
  <si>
    <t>Trưởng phòng Kế toán</t>
  </si>
  <si>
    <t>Nhân viên Kế toán tổng hợp</t>
  </si>
  <si>
    <t>Cửa hàng trưởng</t>
  </si>
  <si>
    <t>Nhân viên Bán hàng</t>
  </si>
  <si>
    <t>Nhân viên bán hàng</t>
  </si>
  <si>
    <t>Chức danh</t>
  </si>
  <si>
    <t>Tổng số phép nghỉ tới trước thời điểm gia hạn phép</t>
  </si>
  <si>
    <t>Tổng số phép nghỉ từ thời điểm gia hạn phép trở đi</t>
  </si>
  <si>
    <t>Điền</t>
  </si>
  <si>
    <t>Công thức</t>
  </si>
  <si>
    <t>[</t>
  </si>
  <si>
    <t>Đầu năm
01/01/2xxx</t>
  </si>
  <si>
    <t>Cuối năm
31/12/2xxx</t>
  </si>
  <si>
    <t>Đầu tháng i</t>
  </si>
  <si>
    <t>Cuối tháng i</t>
  </si>
  <si>
    <t>Số phép năm hiện tại hết tháng i</t>
  </si>
  <si>
    <t>i-X+1</t>
  </si>
  <si>
    <t>i-X</t>
  </si>
  <si>
    <t>i</t>
  </si>
  <si>
    <t>[]</t>
  </si>
  <si>
    <t>]</t>
  </si>
  <si>
    <t>A-1</t>
  </si>
  <si>
    <t>A</t>
  </si>
  <si>
    <t>i-1</t>
  </si>
  <si>
    <t>Ngày a, tháng A trước ngày 15 của tháng trước I
]</t>
  </si>
  <si>
    <t>Ngày a, tháng A từ ngày 15 về sau của tháng trước I
]</t>
  </si>
  <si>
    <t>Ngày b, tháng B sau ngày 15 của tháng I
]</t>
  </si>
  <si>
    <t>Ngày c, tháng C trước ngày 15 của tháng sau I
]</t>
  </si>
  <si>
    <t>Ngày c, tháng C sau ngày 15 của tháng sau I
]</t>
  </si>
  <si>
    <t>Ngày x, tháng X trước ngày 15 của tháng trước i
[]</t>
  </si>
  <si>
    <t>Ngày x, tháng X trước ngày 15 của tháng trước i
[</t>
  </si>
  <si>
    <t>Vào</t>
  </si>
  <si>
    <t>Nghỉ</t>
  </si>
  <si>
    <t>Ngày x, tháng X từ ngày 15 về sau của tháng trước I
[</t>
  </si>
  <si>
    <t>Ngày x, tháng X từ ngày 15 về sau của tháng trước I
[]</t>
  </si>
  <si>
    <t>i-X-1</t>
  </si>
  <si>
    <t>Ngày y, tháng Y trước ngày 15 của tháng I
[]</t>
  </si>
  <si>
    <t>Ngày y, tháng Y trước ngày 15 của tháng I
[</t>
  </si>
  <si>
    <t>Ngày y, tháng Y từ ngày 15 về sau của tháng I
[</t>
  </si>
  <si>
    <t>Ngày y, tháng Y từ ngày 15 về sau của tháng I
[]</t>
  </si>
  <si>
    <t>Ngày z, tháng Z trước ngày 15 của tháng sau I
[]</t>
  </si>
  <si>
    <t>Ngày z, tháng Z trước ngày 15 của tháng sau I
[</t>
  </si>
  <si>
    <t>Ngày z, tháng Z từ ngày 15 về sau của tháng sau I
[]</t>
  </si>
  <si>
    <t>Ngày z, tháng Z từ ngày 15 về sau của tháng sau I
[</t>
  </si>
  <si>
    <t>ĐK 1</t>
  </si>
  <si>
    <t>ĐK 2</t>
  </si>
  <si>
    <t>ĐK 3</t>
  </si>
  <si>
    <t>ĐK 4</t>
  </si>
  <si>
    <t>N/A</t>
  </si>
  <si>
    <t>Ngày vào = ngày nghỉ</t>
  </si>
  <si>
    <t>Ngày nghỉ = ngày đầu năm</t>
  </si>
  <si>
    <t>(Ngày nghỉ - Ngày vào) &lt;15</t>
  </si>
  <si>
    <t>Ngày vào &gt;= 15</t>
  </si>
  <si>
    <t>Ngày vào &gt; Ngày đầu tháng</t>
  </si>
  <si>
    <t>Ngày vào = Ngày đầu tháng</t>
  </si>
  <si>
    <t>Ngày vào &lt;15</t>
  </si>
  <si>
    <t>Ngày nghỉ &gt;= Cuối tháng</t>
  </si>
  <si>
    <t>Ngày vào &lt;= ngày đầu năm</t>
  </si>
  <si>
    <t>Ngày nghỉ &lt; Ngày đầu tháng</t>
  </si>
  <si>
    <t>Ngày nghỉ &gt;= 15</t>
  </si>
  <si>
    <t>Ngày vào &lt;= Ngày đầu năm</t>
  </si>
  <si>
    <t>Ngày nghỉ &lt; 15</t>
  </si>
  <si>
    <t>Ngày b, tháng B từ ngày 15 về trước của tháng I
]</t>
  </si>
  <si>
    <t>(Ngày nghỉ - Ngày đầu tháng)&lt;15</t>
  </si>
  <si>
    <t>Ngày vào &lt; Ngày đầu tháng</t>
  </si>
  <si>
    <t>Ngày vào &lt; 15</t>
  </si>
  <si>
    <t>Ngày nghỉ &gt;= Ngày đầu tháng</t>
  </si>
  <si>
    <t>Ngày nghỉ &lt;15</t>
  </si>
  <si>
    <t>Ngày thanh toán</t>
  </si>
  <si>
    <t>Đã bàn giao đầy đủ, có TT phép</t>
  </si>
  <si>
    <t>Tháng hiện tại -1</t>
  </si>
  <si>
    <t>Tháng hiện tại - Tháng vào</t>
  </si>
  <si>
    <t>Tháng hiện tại - Tháng vào +1</t>
  </si>
  <si>
    <t>Tháng hiện tại - Tháng vào -1</t>
  </si>
  <si>
    <t>Tháng nghỉ</t>
  </si>
  <si>
    <t>Tháng nghỉ -1</t>
  </si>
  <si>
    <t>Ngày vào &gt;= ngày giữa tháng i</t>
  </si>
  <si>
    <t>Ngày nghỉ &gt;  Ngày giữa tháng i</t>
  </si>
  <si>
    <t>Ngày đầu tháng hiện tại</t>
  </si>
  <si>
    <t>Ngày giữa tháng hiện tại</t>
  </si>
  <si>
    <t>Ngày cuối tháng hiện tại</t>
  </si>
  <si>
    <t>Ngày nghỉ &gt; Ngày giữa tháng i</t>
  </si>
  <si>
    <t>Ngày nghỉ &lt;= 15</t>
  </si>
  <si>
    <t>Update Ver 2</t>
  </si>
  <si>
    <t>- Sửa lại công thức trong cột phép năm nay tới hiện tại. Trong đó các trường hợp có thể xảy ra bao gồm</t>
  </si>
  <si>
    <t>Bước 1:</t>
  </si>
  <si>
    <t>Bước 2:</t>
  </si>
  <si>
    <t>Bước 3:</t>
  </si>
  <si>
    <t>Bước 4:</t>
  </si>
  <si>
    <t>Bước 5:</t>
  </si>
  <si>
    <t>VD: '06/2020</t>
  </si>
  <si>
    <t>Bước 6:</t>
  </si>
  <si>
    <t>Cột AL, ngày nghỉ việc bắt buộc phải có thông tin.</t>
  </si>
  <si>
    <t>- Nếu nhân viên nghỉ việc: đưa ngày nghỉ việc vào theo cấu trúc dd/MM/yyyy</t>
  </si>
  <si>
    <t>- Nếu nhân viên đang làm việc: đưa vào 1 ngày rất xa trong tương lai 31/12/2100</t>
  </si>
  <si>
    <t>Bước 7:</t>
  </si>
  <si>
    <t>Khi nhân viên nghỉ việc, ghi chú vào:</t>
  </si>
  <si>
    <t>- Cột AM về tình trạng xử lý hồ sơ, tình trạng nghỉ việc có thanh toán phép hay không</t>
  </si>
  <si>
    <t>- Cột AN: ghi ngày dự định thanh toán lương. Khi tính lương chỉ việc chọn ngày và lấy số ngày cần thanh toán đưa vào bảng lương</t>
  </si>
  <si>
    <t>- Sau khi thanh toán phép, đưa lại số ngày phép thanh toán vào cột AG để theo dõi</t>
  </si>
  <si>
    <t>Bước 8:</t>
  </si>
  <si>
    <t>Các nguyên tắc thiết lập trong bảng theo dõi phép</t>
  </si>
  <si>
    <t>- Cứ mỗi tròn 5 năm làm việc được cộng 1 ngày phép thâm niên vào ngay sau tháng đủ thâm niên 5 năm</t>
  </si>
  <si>
    <t>- Làm việc hết tháng được 1 ngày phép, không tạm ứng trước phép</t>
  </si>
  <si>
    <t>- Phép không sử dụng hết của năm được gia hạn tới tháng 05 của năm sau (mặc định và có thể sửa)</t>
  </si>
  <si>
    <t>- Sử dụng quỹ phép của năm nay trước, khi hết phép của năm trước mới sử dụng sang phép của năm sau</t>
  </si>
  <si>
    <t>- Khi hết thời gian gia hạn phép năm ngoái, nếu không sử dụng hết phép năm ngoái thì số ngày phép còn lại sẽ bị clear</t>
  </si>
  <si>
    <r>
      <t xml:space="preserve">- Phép tính đến hiện tại phụ thuộc vào </t>
    </r>
    <r>
      <rPr>
        <b/>
        <sz val="11"/>
        <color rgb="FF000000"/>
        <rFont val="Times New Roman"/>
        <family val="1"/>
      </rPr>
      <t>ngày vào công ty</t>
    </r>
    <r>
      <rPr>
        <sz val="11"/>
        <color indexed="8"/>
        <rFont val="Times New Roman"/>
        <family val="1"/>
      </rPr>
      <t xml:space="preserve"> và </t>
    </r>
    <r>
      <rPr>
        <b/>
        <sz val="11"/>
        <color rgb="FF000000"/>
        <rFont val="Times New Roman"/>
        <family val="1"/>
      </rPr>
      <t>ngày nghỉ việc</t>
    </r>
  </si>
  <si>
    <t>Ngày a, tháng A trước ngày 15 của tháng trước i
]</t>
  </si>
  <si>
    <t>Ngày a, tháng A từ ngày 15 về sau của tháng trước i
]</t>
  </si>
  <si>
    <t>Ngày a, tháng A trước ngày 15 của tháng sau i
]</t>
  </si>
  <si>
    <t>Ngày nghỉ &lt; ngày đầu tháng</t>
  </si>
  <si>
    <t>Tháng nghỉ - tháng vào</t>
  </si>
  <si>
    <t>Tháng nghỉ - tháng vào +1</t>
  </si>
  <si>
    <t>Tháng nghỉ - tháng vào-1</t>
  </si>
  <si>
    <t>(Ngày nghỉ - Ngày đầu tháng)&gt;=0</t>
  </si>
  <si>
    <t>Kết quả</t>
  </si>
  <si>
    <t>Các TH</t>
  </si>
  <si>
    <t>Chú thích: Tháng i là tháng đang xét để tính phép</t>
  </si>
  <si>
    <t>A-X</t>
  </si>
  <si>
    <t>A-X+1</t>
  </si>
  <si>
    <t>A-X-1</t>
  </si>
  <si>
    <t>Ví dụ</t>
  </si>
  <si>
    <t>Ký hiệu</t>
  </si>
  <si>
    <t>Tháng hiện tại đang xét ngày phép</t>
  </si>
  <si>
    <t>Tháng vào công ty, là tháng của ngày x</t>
  </si>
  <si>
    <t>Tháng vào công ty, là tháng của ngày y</t>
  </si>
  <si>
    <t>Tháng vào công ty, là tháng của ngày z</t>
  </si>
  <si>
    <t>Tháng nghỉ việc, là tháng của ngày a</t>
  </si>
  <si>
    <t>Tháng nghỉ việc, là tháng của ngày b</t>
  </si>
  <si>
    <t>Tháng nghỉ việc, là tháng của ngày c</t>
  </si>
  <si>
    <t>Ngày giữa tháng i</t>
  </si>
  <si>
    <t>Ngày 15 của tháng i</t>
  </si>
  <si>
    <t>Trường hợp</t>
  </si>
  <si>
    <r>
      <t xml:space="preserve">Phép đến hiện tại dựa vào </t>
    </r>
    <r>
      <rPr>
        <b/>
        <i/>
        <u/>
        <sz val="26"/>
        <color rgb="FF000000"/>
        <rFont val="Times New Roman"/>
        <family val="1"/>
      </rPr>
      <t>Ngày vào công ty (chưa tính phép thâm niên)</t>
    </r>
    <r>
      <rPr>
        <b/>
        <sz val="26"/>
        <color indexed="8"/>
        <rFont val="Times New Roman"/>
        <family val="1"/>
      </rPr>
      <t xml:space="preserve"> và </t>
    </r>
    <r>
      <rPr>
        <b/>
        <i/>
        <u/>
        <sz val="26"/>
        <color rgb="FF000000"/>
        <rFont val="Times New Roman"/>
        <family val="1"/>
      </rPr>
      <t>Ngày nghỉ việc</t>
    </r>
  </si>
  <si>
    <r>
      <t xml:space="preserve">Ngày vào công ty, nằm giữa </t>
    </r>
    <r>
      <rPr>
        <b/>
        <sz val="11"/>
        <color rgb="FF000000"/>
        <rFont val="Times New Roman"/>
        <family val="1"/>
      </rPr>
      <t>Ngày đầu năm 01/01/2xxx</t>
    </r>
    <r>
      <rPr>
        <sz val="11"/>
        <color indexed="8"/>
        <rFont val="Times New Roman"/>
        <family val="1"/>
      </rPr>
      <t xml:space="preserve"> và </t>
    </r>
    <r>
      <rPr>
        <b/>
        <sz val="11"/>
        <color rgb="FF000000"/>
        <rFont val="Times New Roman"/>
        <family val="1"/>
      </rPr>
      <t>Ngày đầu tháng i</t>
    </r>
  </si>
  <si>
    <r>
      <t xml:space="preserve">Ngày vào công ty, nằm giữa </t>
    </r>
    <r>
      <rPr>
        <b/>
        <sz val="11"/>
        <color rgb="FF000000"/>
        <rFont val="Times New Roman"/>
        <family val="1"/>
      </rPr>
      <t xml:space="preserve">Ngày đầu tháng i </t>
    </r>
    <r>
      <rPr>
        <sz val="11"/>
        <color rgb="FF000000"/>
        <rFont val="Times New Roman"/>
        <family val="1"/>
      </rPr>
      <t xml:space="preserve">và </t>
    </r>
    <r>
      <rPr>
        <b/>
        <sz val="11"/>
        <color rgb="FF000000"/>
        <rFont val="Times New Roman"/>
        <family val="1"/>
      </rPr>
      <t>Ngày cuối tháng i</t>
    </r>
  </si>
  <si>
    <r>
      <t xml:space="preserve">Ngày vào công ty, nằm giữa </t>
    </r>
    <r>
      <rPr>
        <b/>
        <sz val="11"/>
        <color rgb="FF000000"/>
        <rFont val="Times New Roman"/>
        <family val="1"/>
      </rPr>
      <t>Ngày cuối tháng i</t>
    </r>
    <r>
      <rPr>
        <sz val="11"/>
        <color indexed="8"/>
        <rFont val="Times New Roman"/>
        <family val="1"/>
      </rPr>
      <t xml:space="preserve"> và </t>
    </r>
    <r>
      <rPr>
        <b/>
        <sz val="11"/>
        <color rgb="FF000000"/>
        <rFont val="Times New Roman"/>
        <family val="1"/>
      </rPr>
      <t>Ngày cuối năm 31/12/2xxx</t>
    </r>
  </si>
  <si>
    <r>
      <t xml:space="preserve">Ngày nghỉ việc, nằm giữa </t>
    </r>
    <r>
      <rPr>
        <b/>
        <sz val="11"/>
        <color rgb="FF000000"/>
        <rFont val="Times New Roman"/>
        <family val="1"/>
      </rPr>
      <t>Ngày đầu năm 01/01/2xxx</t>
    </r>
    <r>
      <rPr>
        <sz val="11"/>
        <color indexed="8"/>
        <rFont val="Times New Roman"/>
        <family val="1"/>
      </rPr>
      <t xml:space="preserve"> và </t>
    </r>
    <r>
      <rPr>
        <b/>
        <sz val="11"/>
        <color rgb="FF000000"/>
        <rFont val="Times New Roman"/>
        <family val="1"/>
      </rPr>
      <t>Ngày đầu tháng i</t>
    </r>
  </si>
  <si>
    <r>
      <t xml:space="preserve">Ngày nghỉ việc, nằm giữa </t>
    </r>
    <r>
      <rPr>
        <b/>
        <sz val="11"/>
        <color rgb="FF000000"/>
        <rFont val="Times New Roman"/>
        <family val="1"/>
      </rPr>
      <t>Ngày đầu tháng i</t>
    </r>
    <r>
      <rPr>
        <sz val="11"/>
        <color indexed="8"/>
        <rFont val="Times New Roman"/>
        <family val="1"/>
      </rPr>
      <t xml:space="preserve"> và </t>
    </r>
    <r>
      <rPr>
        <b/>
        <sz val="11"/>
        <color rgb="FF000000"/>
        <rFont val="Times New Roman"/>
        <family val="1"/>
      </rPr>
      <t>Ngày cuối tháng i</t>
    </r>
  </si>
  <si>
    <r>
      <t xml:space="preserve">Ngày nghỉ việc, nằm giữa </t>
    </r>
    <r>
      <rPr>
        <b/>
        <sz val="11"/>
        <color rgb="FF000000"/>
        <rFont val="Times New Roman"/>
        <family val="1"/>
      </rPr>
      <t>Ngày cuối tháng i</t>
    </r>
    <r>
      <rPr>
        <sz val="11"/>
        <color indexed="8"/>
        <rFont val="Times New Roman"/>
        <family val="1"/>
      </rPr>
      <t xml:space="preserve"> và </t>
    </r>
    <r>
      <rPr>
        <b/>
        <sz val="11"/>
        <color rgb="FF000000"/>
        <rFont val="Times New Roman"/>
        <family val="1"/>
      </rPr>
      <t>Ngày cuối năm 31/12/2xxx</t>
    </r>
  </si>
  <si>
    <t>x</t>
  </si>
  <si>
    <t>y</t>
  </si>
  <si>
    <t>z</t>
  </si>
  <si>
    <t>a</t>
  </si>
  <si>
    <t>b</t>
  </si>
  <si>
    <t>c</t>
  </si>
  <si>
    <t>X</t>
  </si>
  <si>
    <t>Y</t>
  </si>
  <si>
    <t>Z</t>
  </si>
  <si>
    <t>B</t>
  </si>
  <si>
    <t>C</t>
  </si>
  <si>
    <t>Tổng hợp trường hợp</t>
  </si>
  <si>
    <t>Số phép năm hiện tại hết 6/2020</t>
  </si>
  <si>
    <t>Ngày vào&lt;=ngày nghỉ</t>
  </si>
  <si>
    <t>ngày nghỉ&lt;=ngày đầu năm</t>
  </si>
  <si>
    <t>05/2020</t>
  </si>
  <si>
    <t>Ngày đầu năm</t>
  </si>
  <si>
    <t>Ngày cuối năm</t>
  </si>
  <si>
    <t>Update Ver 3</t>
  </si>
  <si>
    <t>Phòng</t>
  </si>
  <si>
    <t>31/12/2100</t>
  </si>
  <si>
    <t>THÔNG TIN NHÂN VIÊN</t>
  </si>
  <si>
    <t>Mã NV hiện tại</t>
  </si>
  <si>
    <t>NV135</t>
  </si>
  <si>
    <t>Tình trạng nhân sự theo thời điểm</t>
  </si>
  <si>
    <t>Kỳ được chọn theo BC Nhân sự</t>
  </si>
  <si>
    <t>CT</t>
  </si>
  <si>
    <t>Tình trạng</t>
  </si>
  <si>
    <t>MSNV</t>
  </si>
  <si>
    <t>STT Nhân viên</t>
  </si>
  <si>
    <t>Họ và tên</t>
  </si>
  <si>
    <t>Giới tính</t>
  </si>
  <si>
    <t>Bộ phận</t>
  </si>
  <si>
    <t>Ngày sinh</t>
  </si>
  <si>
    <t>Tháng sinh</t>
  </si>
  <si>
    <t>Nơi sinh</t>
  </si>
  <si>
    <t>Địa chỉ thường trú</t>
  </si>
  <si>
    <t>Địa chỉ hiện tại</t>
  </si>
  <si>
    <t>Số điện thoại</t>
  </si>
  <si>
    <t>E-mail</t>
  </si>
  <si>
    <t>Tình trạng hôn nhân</t>
  </si>
  <si>
    <t>Vợ/chồng</t>
  </si>
  <si>
    <t>Năm sinh vợ/chồng</t>
  </si>
  <si>
    <t>Con thứ 1</t>
  </si>
  <si>
    <t>Năm sinh con thứ 1</t>
  </si>
  <si>
    <t>Con thứ 2</t>
  </si>
  <si>
    <t>Năm sinh con thứ 2</t>
  </si>
  <si>
    <t>Con thứ 3</t>
  </si>
  <si>
    <t>Năm sinh con thứ 3</t>
  </si>
  <si>
    <t>Số CMND</t>
  </si>
  <si>
    <t>Ngày cấp</t>
  </si>
  <si>
    <t>Nơi cấp</t>
  </si>
  <si>
    <t>Mã số thuế TNCN</t>
  </si>
  <si>
    <t>Số người phụ thuộc</t>
  </si>
  <si>
    <t>Số sổ BHXH</t>
  </si>
  <si>
    <t>Trình độ</t>
  </si>
  <si>
    <t>Chuyên ngành</t>
  </si>
  <si>
    <t>Trường</t>
  </si>
  <si>
    <t>Ngày vào công ty (Text)</t>
  </si>
  <si>
    <t>Thâm niên tới hết kỳ</t>
  </si>
  <si>
    <t>Ngày ký HĐ chính thức</t>
  </si>
  <si>
    <t>Loại HĐLĐ hiện tại</t>
  </si>
  <si>
    <t>Loại thanh toán lương</t>
  </si>
  <si>
    <t>Họ tên chuyển khoản</t>
  </si>
  <si>
    <t>Số tài khoản</t>
  </si>
  <si>
    <t>Chi nhánh</t>
  </si>
  <si>
    <t>Ngày nghỉ việc (Text)</t>
  </si>
  <si>
    <t>Xin nghỉ/Công ty cho nghỉ</t>
  </si>
  <si>
    <t>Lý do nghỉ việc</t>
  </si>
  <si>
    <t>Mã ID Chấm công</t>
  </si>
  <si>
    <t>Số con</t>
  </si>
  <si>
    <t>Giảm trừ bản thân</t>
  </si>
  <si>
    <t>Giảm trừ người phụ thuộc</t>
  </si>
  <si>
    <t>Tổng giảm trừ gia cảnh</t>
  </si>
  <si>
    <t>SƠ YẾU LÝ LỊCH CÓ XÁC NHẬN CỦA ĐỊA PHƯƠNG</t>
  </si>
  <si>
    <t>CMND (bản sao công chứng)</t>
  </si>
  <si>
    <t>GIẤY KHÁM SỨC KHỎE</t>
  </si>
  <si>
    <t>GIẤY KHAI SINH (bản sao công chứng)</t>
  </si>
  <si>
    <t>HỘ KHẨU (bản sao công chứng)</t>
  </si>
  <si>
    <t>BẰNG TỐT NGHIỆP (bản sao công chứng)</t>
  </si>
  <si>
    <t>ẢNH
 (3x4)</t>
  </si>
  <si>
    <t>Tình trạng hồ sơ</t>
  </si>
  <si>
    <t>Nam</t>
  </si>
  <si>
    <t>Chưa có TT</t>
  </si>
  <si>
    <t>Chưa có</t>
  </si>
  <si>
    <t>Chuyển khoản</t>
  </si>
  <si>
    <t>DINH NGOC HAI</t>
  </si>
  <si>
    <t>VP Bank</t>
  </si>
  <si>
    <t>135</t>
  </si>
  <si>
    <t>Đủ</t>
  </si>
  <si>
    <t>Nữ</t>
  </si>
  <si>
    <t>05/05/1990</t>
  </si>
  <si>
    <t>28/10/1994</t>
  </si>
  <si>
    <t>01/01/2000</t>
  </si>
  <si>
    <t>Hà Nội</t>
  </si>
  <si>
    <t>Quận Ba Đình, thành phố Hà Nội</t>
  </si>
  <si>
    <t>A1 - TT Viện nghiên cứu Quản lý kinh tế TW, Liễu Giai, quận Ba Đình, Hà Nội</t>
  </si>
  <si>
    <t>P507 ngõ 33 Chùa Láng, quận Đống Đa, Hà Nội</t>
  </si>
  <si>
    <t>Q.Hoàng Mai, Tp Hà Nội</t>
  </si>
  <si>
    <t>Đội Cấn, Q Ba Đình, Tp Hà Nội</t>
  </si>
  <si>
    <t>11 ngõ 312 Bạch Đằng, Hoàn Kiếm, Hà Nội</t>
  </si>
  <si>
    <t>Phú Thượng, Tây Hồ, Hà Nội</t>
  </si>
  <si>
    <t>Hà Tây</t>
  </si>
  <si>
    <t>Lê Lợi, Sơn Tây, Hà Nội</t>
  </si>
  <si>
    <t>Dịch Vọng, Cầu Giấy, HN</t>
  </si>
  <si>
    <t>Bắc Ninh</t>
  </si>
  <si>
    <t>Thôn Xuân Lai, xã Xuân Lai, huyện Gia Bình, Bắc Ninh</t>
  </si>
  <si>
    <t>Nam Định</t>
  </si>
  <si>
    <t>Phường Nhật Tân, Q Tây Hồ, Tp Hà Nội</t>
  </si>
  <si>
    <t>Âu Cơ, Tây Hồ, Hà Nội</t>
  </si>
  <si>
    <t>Hải Phòng</t>
  </si>
  <si>
    <t>Phường Bồ Đề, Q. Long Biên, Tp Hà Nội</t>
  </si>
  <si>
    <t xml:space="preserve">Nghệ An </t>
  </si>
  <si>
    <t>Diễn Châu, Nghệ An</t>
  </si>
  <si>
    <t>Quận Bắc Từ Liêm, Hà Nội</t>
  </si>
  <si>
    <t>Hải Dương</t>
  </si>
  <si>
    <t>Phú Thượng, quận Tây Hồ, thành phố Hà Nội</t>
  </si>
  <si>
    <t>An Dương Vương, Phú Thượng, Tây Hồ, Hà Nội</t>
  </si>
  <si>
    <t>Tuyên Quang</t>
  </si>
  <si>
    <t>Huyện Na Hang, tỉnh Tuyên Quang</t>
  </si>
  <si>
    <t>Đào Tấn, Ba Đình, Tp Hà Nội</t>
  </si>
  <si>
    <t>Thái Bình</t>
  </si>
  <si>
    <t>Thụy Văn, Thái Thụy, Thái Bình</t>
  </si>
  <si>
    <t>Tứ Liên, Tây Hồ, Hà Nội</t>
  </si>
  <si>
    <t>Âu Cơ, Nhật Tân, Tây Hồ, Hà Nội</t>
  </si>
  <si>
    <t>0912.234.678</t>
  </si>
  <si>
    <t>0001@email.com.vn</t>
  </si>
  <si>
    <t>0912.234.679</t>
  </si>
  <si>
    <t>0002@email.com.vn</t>
  </si>
  <si>
    <t>0912.234.691</t>
  </si>
  <si>
    <t>0169@email.com.vn</t>
  </si>
  <si>
    <t>0912.234.695</t>
  </si>
  <si>
    <t>0164@email.com.vn</t>
  </si>
  <si>
    <t>0912.234.696</t>
  </si>
  <si>
    <t>0240@email.com.vn</t>
  </si>
  <si>
    <t>0912.234.680</t>
  </si>
  <si>
    <t>0007@email.com.vn</t>
  </si>
  <si>
    <t>0912.234.689</t>
  </si>
  <si>
    <t>0121@email.com.vn</t>
  </si>
  <si>
    <t>0912.234.684</t>
  </si>
  <si>
    <t>0020@email.com.vn</t>
  </si>
  <si>
    <t>0912.234.685</t>
  </si>
  <si>
    <t>0025@email.com.vn</t>
  </si>
  <si>
    <t>0912.234.686</t>
  </si>
  <si>
    <t>0038@email.com.vn</t>
  </si>
  <si>
    <t>0912.234.693</t>
  </si>
  <si>
    <t>0195@email.com.vn</t>
  </si>
  <si>
    <t>0912.234.681</t>
  </si>
  <si>
    <t>0012@email.com.vn</t>
  </si>
  <si>
    <t>0912.234.687</t>
  </si>
  <si>
    <t>0042@email.com.vn</t>
  </si>
  <si>
    <t>0912.234.688</t>
  </si>
  <si>
    <t>0046@email.com.vn</t>
  </si>
  <si>
    <t>0912.234.694</t>
  </si>
  <si>
    <t>0212@email.com.vn</t>
  </si>
  <si>
    <t>0912.234.698</t>
  </si>
  <si>
    <t>0261@email.com.vn</t>
  </si>
  <si>
    <t>0912.234.682</t>
  </si>
  <si>
    <t>0013@email.com.vn</t>
  </si>
  <si>
    <t>0912.234.683</t>
  </si>
  <si>
    <t>0019@email.com.vn</t>
  </si>
  <si>
    <t>0912.234.690</t>
  </si>
  <si>
    <t>0143@email.com.vn</t>
  </si>
  <si>
    <t>0912.234.692</t>
  </si>
  <si>
    <t>0185@email.com.vn</t>
  </si>
  <si>
    <t>độc thân</t>
  </si>
  <si>
    <t>đã kết hôn</t>
  </si>
  <si>
    <t>Nguyễn Việt Đức</t>
  </si>
  <si>
    <t>Nguyễn Việt Dũng</t>
  </si>
  <si>
    <t>Nguyễn Anh Tuấn</t>
  </si>
  <si>
    <t>Nguyễn Đức Anh</t>
  </si>
  <si>
    <t>Lương Văn Sơn</t>
  </si>
  <si>
    <t>Lương Quang Minh</t>
  </si>
  <si>
    <t>Lương Minh Hiếu</t>
  </si>
  <si>
    <t>Trịnh Xuân Đông</t>
  </si>
  <si>
    <t>Trịnh Ngọc Sơn</t>
  </si>
  <si>
    <t>Trịnh Hương Giang</t>
  </si>
  <si>
    <t xml:space="preserve">Lê Văn Khanh </t>
  </si>
  <si>
    <t xml:space="preserve">Lê Hữu Minh Phú </t>
  </si>
  <si>
    <t xml:space="preserve">Lê Hữu Minh Đức </t>
  </si>
  <si>
    <t>Trần Gia Lương</t>
  </si>
  <si>
    <t>Trần Gia Linh</t>
  </si>
  <si>
    <t>Trần Việt Anh</t>
  </si>
  <si>
    <t xml:space="preserve">Mai Văn Sỹ </t>
  </si>
  <si>
    <t>Mai Thùy Dương</t>
  </si>
  <si>
    <t>Mai Huyền My</t>
  </si>
  <si>
    <t>đã ly dị</t>
  </si>
  <si>
    <t>Ma Doãn Tùng Lâm</t>
  </si>
  <si>
    <t>Nguyễn Mạnh Hùng</t>
  </si>
  <si>
    <t>Nguyễn Thu Hường</t>
  </si>
  <si>
    <t>Nguyễn Minh Hiếu</t>
  </si>
  <si>
    <t>Bùi Khắc Điệp</t>
  </si>
  <si>
    <t>Bùi Bảo Ngọc</t>
  </si>
  <si>
    <t>Bùi Bảo Sơn</t>
  </si>
  <si>
    <t>Nguyễn Hoàng Sơn</t>
  </si>
  <si>
    <t>Nguyễn Hoàng Long</t>
  </si>
  <si>
    <t>012768545</t>
  </si>
  <si>
    <t>CA Hà Nội</t>
  </si>
  <si>
    <t>8137077977</t>
  </si>
  <si>
    <t>012768546</t>
  </si>
  <si>
    <t>27/11/2018</t>
  </si>
  <si>
    <t>012768547</t>
  </si>
  <si>
    <t>012345678</t>
  </si>
  <si>
    <t>012345679</t>
  </si>
  <si>
    <t>012345680</t>
  </si>
  <si>
    <t>012345681</t>
  </si>
  <si>
    <t>012345682</t>
  </si>
  <si>
    <t>CA Bắc Ninh</t>
  </si>
  <si>
    <t>012345683</t>
  </si>
  <si>
    <t>012345684</t>
  </si>
  <si>
    <t>012345685</t>
  </si>
  <si>
    <t>CA Nghệ An</t>
  </si>
  <si>
    <t>012345686</t>
  </si>
  <si>
    <t>012345687</t>
  </si>
  <si>
    <t>012345688</t>
  </si>
  <si>
    <t>012345689</t>
  </si>
  <si>
    <t>CA Tuyên Quang</t>
  </si>
  <si>
    <t>012345690</t>
  </si>
  <si>
    <t>012345691</t>
  </si>
  <si>
    <t>012345692</t>
  </si>
  <si>
    <t>CA Thái Bình</t>
  </si>
  <si>
    <t>012345693</t>
  </si>
  <si>
    <t>012345694</t>
  </si>
  <si>
    <t>0113058457</t>
  </si>
  <si>
    <t>0113058458</t>
  </si>
  <si>
    <t>0113058459</t>
  </si>
  <si>
    <t>0113058460</t>
  </si>
  <si>
    <t>0113058461</t>
  </si>
  <si>
    <t>0113058462</t>
  </si>
  <si>
    <t>0113058463</t>
  </si>
  <si>
    <t>0113058464</t>
  </si>
  <si>
    <t>0113058465</t>
  </si>
  <si>
    <t>0113058466</t>
  </si>
  <si>
    <t>0113058467</t>
  </si>
  <si>
    <t>0113058468</t>
  </si>
  <si>
    <t>0113058469</t>
  </si>
  <si>
    <t>0113058470</t>
  </si>
  <si>
    <t>0113058471</t>
  </si>
  <si>
    <t>0113058472</t>
  </si>
  <si>
    <t>0113058473</t>
  </si>
  <si>
    <t>0113058474</t>
  </si>
  <si>
    <t>0113058475</t>
  </si>
  <si>
    <t>0113058476</t>
  </si>
  <si>
    <t>CĐ</t>
  </si>
  <si>
    <t>ĐH</t>
  </si>
  <si>
    <t>TC</t>
  </si>
  <si>
    <t>THs</t>
  </si>
  <si>
    <t>THPT</t>
  </si>
  <si>
    <t>Chính thức</t>
  </si>
  <si>
    <t>Thử việc</t>
  </si>
  <si>
    <t>Tiền mặt</t>
  </si>
  <si>
    <t>Check lệch phép</t>
  </si>
  <si>
    <t>Ghi chú thanh toán phép</t>
  </si>
  <si>
    <t>TRA CỨU PHÉP NĂM</t>
  </si>
  <si>
    <t>Mã Nhân viên</t>
  </si>
  <si>
    <t>+</t>
  </si>
  <si>
    <t>=</t>
  </si>
  <si>
    <t>Tổng số phép đã sử dụng</t>
  </si>
  <si>
    <t>Trước thời điểm gia hạn phép</t>
  </si>
  <si>
    <t>Từ thời điểm gia hạn phép trở đi</t>
  </si>
  <si>
    <t>LỰA CHỌN THỜI GIAN</t>
  </si>
  <si>
    <t>QUỸ PHÉP TÍNH TOÁN</t>
  </si>
  <si>
    <t>SỐ PHÉP ĐÃ SỬ DỤNG</t>
  </si>
  <si>
    <t>QUỸ PHÉP CÒN LẠI</t>
  </si>
  <si>
    <t>Tháng</t>
  </si>
  <si>
    <r>
      <t xml:space="preserve">Khi có sự thay đổi về danh sách nhân vien, Copy paste Value lại vào sheet </t>
    </r>
    <r>
      <rPr>
        <b/>
        <sz val="11"/>
        <color rgb="FF000000"/>
        <rFont val="Times New Roman"/>
        <family val="1"/>
      </rPr>
      <t>"Data DSNV"</t>
    </r>
  </si>
  <si>
    <r>
      <t xml:space="preserve">Cập nhật danh sách nhân viên trong sheet </t>
    </r>
    <r>
      <rPr>
        <b/>
        <sz val="11"/>
        <color rgb="FF000000"/>
        <rFont val="Times New Roman"/>
        <family val="1"/>
      </rPr>
      <t>"Phép năm"</t>
    </r>
  </si>
  <si>
    <r>
      <t xml:space="preserve">- Danh sách nhân viên được cập nhật bằng cách Copy mã nhân viên từ sheet </t>
    </r>
    <r>
      <rPr>
        <b/>
        <sz val="11"/>
        <color rgb="FF000000"/>
        <rFont val="Times New Roman"/>
        <family val="1"/>
      </rPr>
      <t>"Data DSNV"</t>
    </r>
    <r>
      <rPr>
        <sz val="11"/>
        <color indexed="8"/>
        <rFont val="Times New Roman"/>
        <family val="1"/>
      </rPr>
      <t xml:space="preserve"> vào cột </t>
    </r>
    <r>
      <rPr>
        <b/>
        <sz val="11"/>
        <color rgb="FF000000"/>
        <rFont val="Times New Roman"/>
        <family val="1"/>
      </rPr>
      <t xml:space="preserve">Mã NV </t>
    </r>
    <r>
      <rPr>
        <sz val="11"/>
        <color rgb="FF000000"/>
        <rFont val="Times New Roman"/>
        <family val="1"/>
      </rPr>
      <t xml:space="preserve">trong sheet </t>
    </r>
    <r>
      <rPr>
        <b/>
        <sz val="11"/>
        <color rgb="FF000000"/>
        <rFont val="Times New Roman"/>
        <family val="1"/>
      </rPr>
      <t>"Phép năm"</t>
    </r>
  </si>
  <si>
    <t>- Tháng 01 hàng năm, lấy danh sách của những người đang làm việc, nghỉ thai sản nghỉ không lương tại thời điểm hết tháng 01 năm đó</t>
  </si>
  <si>
    <t>- Từ tháng 02 trở đi, thêm vào mã của các nhân viên được tuyển dụng trong năm</t>
  </si>
  <si>
    <t>- Lưu ý không xóa mã nhân viên nghỉ việc trong năm</t>
  </si>
  <si>
    <t>Cách sử dụng với người làm file (mỗi năm sử dụng 1 file)</t>
  </si>
  <si>
    <r>
      <t xml:space="preserve">Vào ngày đầu năm, thay đổi năm để dữ liệu được cập nhật tại sheet </t>
    </r>
    <r>
      <rPr>
        <b/>
        <sz val="11"/>
        <color rgb="FF000000"/>
        <rFont val="Times New Roman"/>
        <family val="1"/>
      </rPr>
      <t>"Dboard"</t>
    </r>
  </si>
  <si>
    <r>
      <t xml:space="preserve">Khi sang tháng mới, cập nhật thông tin của tháng mới trong sheet </t>
    </r>
    <r>
      <rPr>
        <b/>
        <sz val="11"/>
        <color rgb="FF000000"/>
        <rFont val="Times New Roman"/>
        <family val="1"/>
      </rPr>
      <t>"Dboard"</t>
    </r>
    <r>
      <rPr>
        <sz val="11"/>
        <color indexed="8"/>
        <rFont val="Times New Roman"/>
        <family val="1"/>
      </rPr>
      <t xml:space="preserve">. Dữ liệu về số ngày phép trong sheet </t>
    </r>
    <r>
      <rPr>
        <b/>
        <sz val="11"/>
        <color rgb="FF000000"/>
        <rFont val="Times New Roman"/>
        <family val="1"/>
      </rPr>
      <t>"Phép năm"</t>
    </r>
    <r>
      <rPr>
        <sz val="11"/>
        <color indexed="8"/>
        <rFont val="Times New Roman"/>
        <family val="1"/>
      </rPr>
      <t xml:space="preserve"> tới hiện tại sẽ nhảy theo</t>
    </r>
  </si>
  <si>
    <r>
      <t xml:space="preserve">Trong sheet </t>
    </r>
    <r>
      <rPr>
        <b/>
        <sz val="11"/>
        <color rgb="FF000000"/>
        <rFont val="Times New Roman"/>
        <family val="1"/>
      </rPr>
      <t>"Phép năm"</t>
    </r>
    <r>
      <rPr>
        <sz val="11"/>
        <color indexed="8"/>
        <rFont val="Times New Roman"/>
        <family val="1"/>
      </rPr>
      <t>, sau khi chấm công, đưa dữ liệu về số ngày phép thực nghỉ của tháng vào vùng tư cột P đến cột AA để quỹ phép tự tính lại</t>
    </r>
  </si>
  <si>
    <r>
      <t xml:space="preserve">Trong sheet </t>
    </r>
    <r>
      <rPr>
        <b/>
        <sz val="11"/>
        <color rgb="FF000000"/>
        <rFont val="Times New Roman"/>
        <family val="1"/>
      </rPr>
      <t>"Phép năm"</t>
    </r>
    <r>
      <rPr>
        <sz val="11"/>
        <color indexed="8"/>
        <rFont val="Times New Roman"/>
        <family val="1"/>
      </rPr>
      <t>, nếu tháng gia hạn phép thay đổi, điền lại vào cột AI theo cấu trúc MM/yyyy</t>
    </r>
  </si>
  <si>
    <r>
      <t xml:space="preserve">Trong sheet </t>
    </r>
    <r>
      <rPr>
        <b/>
        <sz val="11"/>
        <color rgb="FF000000"/>
        <rFont val="Times New Roman"/>
        <family val="1"/>
      </rPr>
      <t>"Phép năm", c</t>
    </r>
    <r>
      <rPr>
        <sz val="11"/>
        <color indexed="8"/>
        <rFont val="Times New Roman"/>
        <family val="1"/>
      </rPr>
      <t>ột AF tổng số phép còn lại là số lượng ngày phép nhân viên được sử dụng đến hết tháng đang chọn</t>
    </r>
  </si>
  <si>
    <t>Bước 9:</t>
  </si>
  <si>
    <t>- Update sheet "Dboard" để xem thông tin phép về 1 nhân viên 1 cách trực quan khi gõ vào Mã nhân viên</t>
  </si>
  <si>
    <t>- Update Sheet "Daataa DSNV" để tự động lấy thông tin nhân viên sang các sheet khác</t>
  </si>
  <si>
    <t>- Update UI/UX</t>
  </si>
  <si>
    <t>Chú thích ô màu trong "Data DSNV"</t>
  </si>
  <si>
    <t>Chọn</t>
  </si>
  <si>
    <t>Điền dữ liệu theo tiêu đề</t>
  </si>
  <si>
    <t>Chọn theo tùy chọn có sẵn trong ô</t>
  </si>
  <si>
    <t>Copy công thức từ ô đầu tiên xuống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</si>
</sst>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d/m/yyyy"/>
    <numFmt numFmtId="168" formatCode="dd&quot;/&quot;mm&quot;/&quot;yyyy"/>
  </numFmts>
  <fonts count="54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  <font>
      <b/>
      <sz val="11"/>
      <color indexed="8"/>
      <name val="Times New Roman"/>
      <family val="1"/>
    </font>
    <font>
      <b/>
      <sz val="9"/>
      <color indexed="81"/>
      <name val="Tahoma"/>
      <family val="2"/>
    </font>
    <font>
      <b/>
      <sz val="24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26"/>
      <color indexed="8"/>
      <name val="Times New Roman"/>
      <family val="1"/>
    </font>
    <font>
      <b/>
      <i/>
      <u/>
      <sz val="26"/>
      <color rgb="FF000000"/>
      <name val="Times New Roman"/>
      <family val="1"/>
    </font>
    <font>
      <b/>
      <sz val="20"/>
      <color indexed="8"/>
      <name val="Times New Roman"/>
      <family val="1"/>
    </font>
    <font>
      <b/>
      <sz val="22"/>
      <color theme="0"/>
      <name val="Times New Roman"/>
      <family val="1"/>
    </font>
    <font>
      <b/>
      <sz val="24"/>
      <color rgb="FF000000"/>
      <name val="Times New Roman"/>
      <family val="1"/>
    </font>
    <font>
      <sz val="10"/>
      <color rgb="FF000000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sz val="11"/>
      <color rgb="FF222222"/>
      <name val="Times New Roman"/>
      <family val="1"/>
    </font>
    <font>
      <sz val="14"/>
      <name val="Times New Roman"/>
      <family val="1"/>
    </font>
    <font>
      <sz val="14"/>
      <color theme="0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24"/>
      <color theme="0"/>
      <name val="Times New Roman"/>
      <family val="1"/>
    </font>
    <font>
      <b/>
      <sz val="36"/>
      <color indexed="8"/>
      <name val="Calibri"/>
      <family val="2"/>
    </font>
    <font>
      <sz val="26"/>
      <color indexed="8"/>
      <name val="Times New Roman"/>
      <family val="1"/>
    </font>
    <font>
      <sz val="11"/>
      <color indexed="8"/>
      <name val="Calibri"/>
      <family val="2"/>
      <charset val="163"/>
    </font>
    <font>
      <sz val="14"/>
      <color theme="0"/>
      <name val="Times New Roman"/>
      <family val="1"/>
      <charset val="163"/>
    </font>
    <font>
      <b/>
      <sz val="28"/>
      <color indexed="8"/>
      <name val="Times New Roman"/>
      <family val="1"/>
    </font>
    <font>
      <sz val="28"/>
      <color indexed="8"/>
      <name val="Calibri"/>
      <family val="2"/>
      <charset val="163"/>
    </font>
    <font>
      <b/>
      <sz val="28"/>
      <color indexed="8"/>
      <name val="Times New Roman"/>
      <family val="1"/>
      <charset val="163"/>
    </font>
    <font>
      <sz val="28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28"/>
      <color theme="0"/>
      <name val="Times New Roman"/>
      <family val="1"/>
    </font>
  </fonts>
  <fills count="5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CC66"/>
        <bgColor rgb="FFFFCC66"/>
      </patternFill>
    </fill>
    <fill>
      <patternFill patternType="solid">
        <fgColor rgb="FFD8E4BC"/>
        <bgColor rgb="FFD8E4BC"/>
      </patternFill>
    </fill>
    <fill>
      <patternFill patternType="solid">
        <fgColor rgb="FFFF9900"/>
        <bgColor rgb="FFFF9900"/>
      </patternFill>
    </fill>
    <fill>
      <patternFill patternType="solid">
        <fgColor rgb="FFF7F8F9"/>
        <bgColor rgb="FFF7F8F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5"/>
      </left>
      <right/>
      <top style="thick">
        <color theme="5"/>
      </top>
      <bottom/>
      <diagonal/>
    </border>
    <border>
      <left/>
      <right/>
      <top style="thick">
        <color theme="5"/>
      </top>
      <bottom/>
      <diagonal/>
    </border>
    <border>
      <left/>
      <right style="thick">
        <color theme="5"/>
      </right>
      <top style="thick">
        <color theme="5"/>
      </top>
      <bottom/>
      <diagonal/>
    </border>
    <border>
      <left style="thick">
        <color theme="5"/>
      </left>
      <right/>
      <top/>
      <bottom/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/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/>
      <diagonal/>
    </border>
    <border>
      <left style="thick">
        <color theme="5"/>
      </left>
      <right style="thick">
        <color theme="5"/>
      </right>
      <top/>
      <bottom style="thick">
        <color theme="5"/>
      </bottom>
      <diagonal/>
    </border>
    <border>
      <left/>
      <right/>
      <top style="double">
        <color rgb="FF00B050"/>
      </top>
      <bottom/>
      <diagonal/>
    </border>
    <border>
      <left style="thick">
        <color theme="5"/>
      </left>
      <right style="thick">
        <color theme="0"/>
      </right>
      <top style="thick">
        <color theme="5"/>
      </top>
      <bottom/>
      <diagonal/>
    </border>
    <border>
      <left style="thick">
        <color theme="0"/>
      </left>
      <right style="thick">
        <color theme="0"/>
      </right>
      <top style="thick">
        <color theme="5"/>
      </top>
      <bottom/>
      <diagonal/>
    </border>
    <border>
      <left style="thick">
        <color theme="0"/>
      </left>
      <right style="thick">
        <color theme="5"/>
      </right>
      <top style="thick">
        <color theme="5"/>
      </top>
      <bottom/>
      <diagonal/>
    </border>
    <border>
      <left style="thick">
        <color rgb="FF92D050"/>
      </left>
      <right style="thick">
        <color rgb="FF92D050"/>
      </right>
      <top style="thick">
        <color rgb="FF92D050"/>
      </top>
      <bottom style="thick">
        <color rgb="FF92D050"/>
      </bottom>
      <diagonal/>
    </border>
    <border>
      <left style="thick">
        <color rgb="FF92D050"/>
      </left>
      <right/>
      <top style="thick">
        <color rgb="FF92D050"/>
      </top>
      <bottom style="thick">
        <color rgb="FF92D050"/>
      </bottom>
      <diagonal/>
    </border>
    <border>
      <left/>
      <right/>
      <top style="thick">
        <color rgb="FF92D050"/>
      </top>
      <bottom style="thick">
        <color rgb="FF92D050"/>
      </bottom>
      <diagonal/>
    </border>
    <border>
      <left/>
      <right style="thick">
        <color rgb="FF92D050"/>
      </right>
      <top style="thick">
        <color rgb="FF92D050"/>
      </top>
      <bottom style="thick">
        <color rgb="FF92D050"/>
      </bottom>
      <diagonal/>
    </border>
    <border>
      <left style="thick">
        <color rgb="FF92D050"/>
      </left>
      <right style="thick">
        <color theme="5"/>
      </right>
      <top style="thick">
        <color rgb="FF92D050"/>
      </top>
      <bottom style="thick">
        <color rgb="FF92D050"/>
      </bottom>
      <diagonal/>
    </border>
    <border>
      <left style="thick">
        <color theme="5"/>
      </left>
      <right style="thick">
        <color rgb="FF92D050"/>
      </right>
      <top style="thick">
        <color rgb="FF92D050"/>
      </top>
      <bottom style="thick">
        <color rgb="FF92D050"/>
      </bottom>
      <diagonal/>
    </border>
    <border>
      <left/>
      <right/>
      <top style="double">
        <color auto="1"/>
      </top>
      <bottom/>
      <diagonal/>
    </border>
  </borders>
  <cellStyleXfs count="46">
    <xf numFmtId="0" fontId="0" fillId="0" borderId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3" fillId="29" borderId="0" applyNumberFormat="0" applyBorder="0" applyAlignment="0" applyProtection="0"/>
    <xf numFmtId="0" fontId="14" fillId="30" borderId="7" applyNumberFormat="0" applyAlignment="0" applyProtection="0"/>
    <xf numFmtId="164" fontId="6" fillId="0" borderId="0" applyFont="0" applyFill="0" applyBorder="0" applyAlignment="0" applyProtection="0"/>
    <xf numFmtId="0" fontId="8" fillId="31" borderId="8" applyNumberFormat="0" applyAlignment="0" applyProtection="0"/>
    <xf numFmtId="0" fontId="15" fillId="0" borderId="0" applyNumberFormat="0" applyFill="0" applyBorder="0" applyAlignment="0" applyProtection="0"/>
    <xf numFmtId="0" fontId="16" fillId="32" borderId="0" applyNumberFormat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7" applyNumberFormat="0" applyAlignment="0" applyProtection="0"/>
    <xf numFmtId="0" fontId="21" fillId="0" borderId="12" applyNumberFormat="0" applyFill="0" applyAlignment="0" applyProtection="0"/>
    <xf numFmtId="0" fontId="22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3" borderId="13" applyNumberFormat="0" applyFont="0" applyAlignment="0" applyProtection="0"/>
    <xf numFmtId="0" fontId="23" fillId="30" borderId="14" applyNumberFormat="0" applyAlignment="0" applyProtection="0"/>
    <xf numFmtId="0" fontId="24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0" applyNumberFormat="0" applyFill="0" applyBorder="0" applyAlignment="0" applyProtection="0"/>
  </cellStyleXfs>
  <cellXfs count="248">
    <xf numFmtId="0" fontId="6" fillId="0" borderId="0" xfId="0" applyFont="1"/>
    <xf numFmtId="0" fontId="11" fillId="0" borderId="0" xfId="0" applyNumberFormat="1" applyFont="1" applyProtection="1"/>
    <xf numFmtId="0" fontId="11" fillId="0" borderId="0" xfId="0" applyNumberFormat="1" applyFont="1" applyAlignment="1" applyProtection="1">
      <alignment horizontal="center" vertical="center"/>
    </xf>
    <xf numFmtId="0" fontId="11" fillId="0" borderId="0" xfId="0" applyNumberFormat="1" applyFont="1" applyAlignment="1" applyProtection="1">
      <alignment horizontal="left"/>
    </xf>
    <xf numFmtId="0" fontId="11" fillId="0" borderId="0" xfId="0" applyNumberFormat="1" applyFont="1" applyAlignment="1" applyProtection="1">
      <alignment horizontal="center"/>
    </xf>
    <xf numFmtId="0" fontId="3" fillId="34" borderId="0" xfId="0" applyNumberFormat="1" applyFont="1" applyFill="1" applyAlignment="1" applyProtection="1">
      <alignment wrapText="1"/>
    </xf>
    <xf numFmtId="0" fontId="3" fillId="35" borderId="0" xfId="0" applyNumberFormat="1" applyFont="1" applyFill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5" fillId="36" borderId="4" xfId="0" applyNumberFormat="1" applyFont="1" applyFill="1" applyBorder="1" applyAlignment="1" applyProtection="1">
      <alignment horizontal="center" vertical="center" wrapText="1"/>
    </xf>
    <xf numFmtId="0" fontId="5" fillId="18" borderId="1" xfId="0" applyNumberFormat="1" applyFont="1" applyFill="1" applyBorder="1" applyAlignment="1" applyProtection="1">
      <alignment horizontal="center" vertical="center" wrapText="1"/>
    </xf>
    <xf numFmtId="0" fontId="5" fillId="37" borderId="5" xfId="0" applyNumberFormat="1" applyFont="1" applyFill="1" applyBorder="1" applyAlignment="1" applyProtection="1">
      <alignment horizontal="center" vertical="center" wrapText="1"/>
    </xf>
    <xf numFmtId="0" fontId="5" fillId="36" borderId="6" xfId="0" applyNumberFormat="1" applyFont="1" applyFill="1" applyBorder="1" applyAlignment="1" applyProtection="1">
      <alignment horizontal="center" vertical="center" wrapText="1"/>
    </xf>
    <xf numFmtId="0" fontId="5" fillId="37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wrapText="1"/>
    </xf>
    <xf numFmtId="49" fontId="4" fillId="0" borderId="1" xfId="40" applyNumberFormat="1" applyFont="1" applyFill="1" applyBorder="1" applyAlignment="1" applyProtection="1">
      <alignment horizontal="left"/>
    </xf>
    <xf numFmtId="14" fontId="4" fillId="0" borderId="1" xfId="40" applyNumberFormat="1" applyFont="1" applyFill="1" applyBorder="1" applyAlignment="1" applyProtection="1">
      <alignment horizontal="center"/>
    </xf>
    <xf numFmtId="165" fontId="4" fillId="0" borderId="3" xfId="27" applyNumberFormat="1" applyFont="1" applyFill="1" applyBorder="1" applyAlignment="1" applyProtection="1">
      <alignment horizontal="center" vertical="center"/>
    </xf>
    <xf numFmtId="165" fontId="4" fillId="0" borderId="4" xfId="27" applyNumberFormat="1" applyFont="1" applyFill="1" applyBorder="1" applyAlignment="1" applyProtection="1">
      <alignment horizontal="center" vertical="center"/>
    </xf>
    <xf numFmtId="165" fontId="4" fillId="0" borderId="1" xfId="27" applyNumberFormat="1" applyFont="1" applyFill="1" applyBorder="1" applyAlignment="1" applyProtection="1">
      <alignment horizontal="center" vertical="center"/>
    </xf>
    <xf numFmtId="165" fontId="4" fillId="0" borderId="5" xfId="27" applyNumberFormat="1" applyFont="1" applyFill="1" applyBorder="1" applyAlignment="1" applyProtection="1">
      <alignment horizontal="center" vertical="center"/>
    </xf>
    <xf numFmtId="165" fontId="4" fillId="0" borderId="6" xfId="27" applyNumberFormat="1" applyFont="1" applyFill="1" applyBorder="1" applyAlignment="1" applyProtection="1">
      <alignment horizontal="center" vertical="center"/>
    </xf>
    <xf numFmtId="0" fontId="2" fillId="0" borderId="1" xfId="40" applyNumberFormat="1" applyFont="1" applyFill="1" applyBorder="1" applyAlignment="1" applyProtection="1"/>
    <xf numFmtId="0" fontId="11" fillId="0" borderId="0" xfId="0" applyNumberFormat="1" applyFont="1" applyAlignment="1" applyProtection="1"/>
    <xf numFmtId="0" fontId="11" fillId="0" borderId="0" xfId="0" applyNumberFormat="1" applyFont="1" applyFill="1" applyBorder="1" applyProtection="1"/>
    <xf numFmtId="0" fontId="11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center"/>
    </xf>
    <xf numFmtId="165" fontId="11" fillId="0" borderId="0" xfId="27" applyNumberFormat="1" applyFont="1" applyProtection="1"/>
    <xf numFmtId="165" fontId="5" fillId="4" borderId="2" xfId="27" applyNumberFormat="1" applyFont="1" applyFill="1" applyBorder="1" applyAlignment="1" applyProtection="1">
      <alignment horizontal="center" vertical="center" wrapText="1"/>
    </xf>
    <xf numFmtId="165" fontId="4" fillId="0" borderId="3" xfId="27" applyNumberFormat="1" applyFont="1" applyFill="1" applyBorder="1" applyAlignment="1" applyProtection="1">
      <alignment horizontal="center"/>
    </xf>
    <xf numFmtId="165" fontId="11" fillId="0" borderId="0" xfId="27" applyNumberFormat="1" applyFont="1" applyFill="1" applyBorder="1" applyProtection="1"/>
    <xf numFmtId="166" fontId="4" fillId="0" borderId="3" xfId="40" applyNumberFormat="1" applyFont="1" applyFill="1" applyBorder="1" applyAlignment="1" applyProtection="1">
      <alignment horizontal="left"/>
    </xf>
    <xf numFmtId="0" fontId="5" fillId="18" borderId="3" xfId="0" applyNumberFormat="1" applyFont="1" applyFill="1" applyBorder="1" applyAlignment="1" applyProtection="1">
      <alignment horizontal="center" vertical="center" wrapText="1"/>
    </xf>
    <xf numFmtId="0" fontId="4" fillId="0" borderId="1" xfId="40" applyNumberFormat="1" applyFont="1" applyBorder="1" applyAlignment="1" applyProtection="1">
      <alignment horizontal="center" vertical="top"/>
    </xf>
    <xf numFmtId="0" fontId="5" fillId="37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49" fontId="5" fillId="4" borderId="2" xfId="0" applyNumberFormat="1" applyFont="1" applyFill="1" applyBorder="1" applyAlignment="1" applyProtection="1">
      <alignment horizontal="center" vertical="center" wrapText="1"/>
    </xf>
    <xf numFmtId="14" fontId="4" fillId="0" borderId="3" xfId="40" applyNumberFormat="1" applyFont="1" applyFill="1" applyBorder="1" applyAlignment="1" applyProtection="1">
      <alignment horizontal="center"/>
    </xf>
    <xf numFmtId="164" fontId="11" fillId="0" borderId="0" xfId="27" applyFont="1" applyProtection="1"/>
    <xf numFmtId="164" fontId="4" fillId="0" borderId="3" xfId="27" applyFont="1" applyFill="1" applyBorder="1" applyAlignment="1" applyProtection="1">
      <alignment horizontal="center"/>
    </xf>
    <xf numFmtId="164" fontId="11" fillId="0" borderId="0" xfId="27" applyFont="1" applyFill="1" applyBorder="1" applyProtection="1"/>
    <xf numFmtId="165" fontId="4" fillId="0" borderId="3" xfId="27" quotePrefix="1" applyNumberFormat="1" applyFont="1" applyFill="1" applyBorder="1" applyAlignment="1" applyProtection="1">
      <alignment horizontal="center" vertical="center"/>
    </xf>
    <xf numFmtId="0" fontId="4" fillId="0" borderId="1" xfId="40" applyNumberFormat="1" applyFont="1" applyBorder="1" applyAlignment="1" applyProtection="1">
      <alignment horizontal="left" vertical="center"/>
    </xf>
    <xf numFmtId="165" fontId="11" fillId="0" borderId="0" xfId="27" applyNumberFormat="1" applyFont="1" applyAlignment="1" applyProtection="1">
      <alignment horizontal="left"/>
    </xf>
    <xf numFmtId="165" fontId="11" fillId="0" borderId="0" xfId="27" applyNumberFormat="1" applyFont="1" applyAlignment="1" applyProtection="1">
      <alignment horizontal="center"/>
    </xf>
    <xf numFmtId="165" fontId="3" fillId="0" borderId="0" xfId="27" applyNumberFormat="1" applyFont="1" applyProtection="1"/>
    <xf numFmtId="49" fontId="5" fillId="4" borderId="1" xfId="0" applyNumberFormat="1" applyFont="1" applyFill="1" applyBorder="1" applyAlignment="1" applyProtection="1">
      <alignment horizontal="center" vertical="center" wrapText="1"/>
    </xf>
    <xf numFmtId="49" fontId="4" fillId="0" borderId="1" xfId="40" applyNumberFormat="1" applyFont="1" applyBorder="1" applyAlignment="1" applyProtection="1">
      <alignment horizontal="center" vertical="center"/>
    </xf>
    <xf numFmtId="0" fontId="12" fillId="0" borderId="1" xfId="0" applyNumberFormat="1" applyFont="1" applyBorder="1" applyAlignment="1" applyProtection="1">
      <alignment horizontal="center" vertical="center" wrapText="1"/>
    </xf>
    <xf numFmtId="14" fontId="2" fillId="0" borderId="1" xfId="40" applyNumberFormat="1" applyFont="1" applyFill="1" applyBorder="1" applyAlignment="1" applyProtection="1"/>
    <xf numFmtId="0" fontId="3" fillId="38" borderId="0" xfId="0" applyNumberFormat="1" applyFont="1" applyFill="1" applyAlignment="1" applyProtection="1">
      <alignment horizontal="center" vertical="center" wrapText="1"/>
    </xf>
    <xf numFmtId="0" fontId="5" fillId="39" borderId="16" xfId="0" applyNumberFormat="1" applyFont="1" applyFill="1" applyBorder="1" applyAlignment="1" applyProtection="1">
      <alignment horizontal="center" vertical="center" wrapText="1"/>
    </xf>
    <xf numFmtId="0" fontId="5" fillId="39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3" fillId="36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40" borderId="0" xfId="0" applyFont="1" applyFill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 vertical="center"/>
    </xf>
    <xf numFmtId="0" fontId="3" fillId="42" borderId="0" xfId="0" applyFont="1" applyFill="1" applyAlignment="1">
      <alignment horizontal="center" vertical="center"/>
    </xf>
    <xf numFmtId="0" fontId="3" fillId="43" borderId="0" xfId="0" applyFont="1" applyFill="1" applyAlignment="1">
      <alignment horizontal="center" vertical="center"/>
    </xf>
    <xf numFmtId="0" fontId="3" fillId="44" borderId="0" xfId="0" applyFont="1" applyFill="1" applyAlignment="1">
      <alignment horizontal="center" vertical="center"/>
    </xf>
    <xf numFmtId="0" fontId="3" fillId="45" borderId="0" xfId="0" applyFont="1" applyFill="1" applyAlignment="1">
      <alignment horizontal="center" vertical="center"/>
    </xf>
    <xf numFmtId="16" fontId="3" fillId="0" borderId="0" xfId="0" applyNumberFormat="1" applyFont="1" applyAlignment="1">
      <alignment horizontal="center" vertical="center"/>
    </xf>
    <xf numFmtId="0" fontId="25" fillId="38" borderId="0" xfId="0" applyFont="1" applyFill="1" applyAlignment="1">
      <alignment horizontal="center" vertical="center" wrapText="1"/>
    </xf>
    <xf numFmtId="0" fontId="25" fillId="36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43" borderId="0" xfId="0" applyFont="1" applyFill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5" fillId="0" borderId="0" xfId="0" applyFont="1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center"/>
    </xf>
    <xf numFmtId="49" fontId="2" fillId="0" borderId="0" xfId="0" applyNumberFormat="1" applyFont="1"/>
    <xf numFmtId="14" fontId="2" fillId="0" borderId="0" xfId="0" applyNumberFormat="1" applyFont="1"/>
    <xf numFmtId="0" fontId="2" fillId="0" borderId="0" xfId="0" applyFont="1" applyAlignment="1">
      <alignment horizontal="left" vertical="center"/>
    </xf>
    <xf numFmtId="4" fontId="36" fillId="0" borderId="0" xfId="0" applyNumberFormat="1" applyFont="1"/>
    <xf numFmtId="0" fontId="36" fillId="0" borderId="0" xfId="0" applyFont="1"/>
    <xf numFmtId="167" fontId="2" fillId="0" borderId="0" xfId="0" applyNumberFormat="1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46" borderId="0" xfId="0" applyFont="1" applyFill="1" applyAlignment="1">
      <alignment horizontal="center" vertical="center"/>
    </xf>
    <xf numFmtId="0" fontId="2" fillId="47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12" fillId="49" borderId="25" xfId="0" applyFont="1" applyFill="1" applyBorder="1" applyAlignment="1">
      <alignment horizontal="center" vertical="center" wrapText="1"/>
    </xf>
    <xf numFmtId="168" fontId="12" fillId="49" borderId="25" xfId="0" applyNumberFormat="1" applyFont="1" applyFill="1" applyBorder="1" applyAlignment="1">
      <alignment horizontal="center" vertical="center" wrapText="1"/>
    </xf>
    <xf numFmtId="49" fontId="12" fillId="49" borderId="25" xfId="0" applyNumberFormat="1" applyFont="1" applyFill="1" applyBorder="1" applyAlignment="1">
      <alignment horizontal="center" vertical="center" wrapText="1"/>
    </xf>
    <xf numFmtId="14" fontId="12" fillId="49" borderId="25" xfId="0" applyNumberFormat="1" applyFont="1" applyFill="1" applyBorder="1" applyAlignment="1">
      <alignment horizontal="center" vertical="center" wrapText="1"/>
    </xf>
    <xf numFmtId="0" fontId="12" fillId="50" borderId="25" xfId="0" applyFont="1" applyFill="1" applyBorder="1" applyAlignment="1">
      <alignment horizontal="center" vertical="center" wrapText="1"/>
    </xf>
    <xf numFmtId="0" fontId="37" fillId="49" borderId="25" xfId="0" applyFont="1" applyFill="1" applyBorder="1" applyAlignment="1">
      <alignment horizontal="center" vertical="center" wrapText="1"/>
    </xf>
    <xf numFmtId="0" fontId="12" fillId="51" borderId="2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vertical="center" wrapText="1"/>
    </xf>
    <xf numFmtId="168" fontId="2" fillId="0" borderId="25" xfId="0" applyNumberFormat="1" applyFont="1" applyBorder="1" applyAlignment="1">
      <alignment horizontal="center" vertical="center" wrapText="1"/>
    </xf>
    <xf numFmtId="49" fontId="29" fillId="0" borderId="25" xfId="0" applyNumberFormat="1" applyFont="1" applyBorder="1" applyAlignment="1">
      <alignment horizontal="center" vertical="center" wrapText="1"/>
    </xf>
    <xf numFmtId="0" fontId="2" fillId="0" borderId="25" xfId="0" quotePrefix="1" applyFont="1" applyBorder="1" applyAlignment="1">
      <alignment horizontal="right" vertical="center" wrapText="1"/>
    </xf>
    <xf numFmtId="49" fontId="29" fillId="0" borderId="25" xfId="0" applyNumberFormat="1" applyFont="1" applyBorder="1" applyAlignment="1">
      <alignment horizontal="right" vertical="center" wrapText="1"/>
    </xf>
    <xf numFmtId="14" fontId="29" fillId="0" borderId="25" xfId="0" applyNumberFormat="1" applyFont="1" applyBorder="1" applyAlignment="1">
      <alignment horizontal="center" vertical="center" wrapText="1"/>
    </xf>
    <xf numFmtId="14" fontId="2" fillId="48" borderId="25" xfId="0" applyNumberFormat="1" applyFont="1" applyFill="1" applyBorder="1" applyAlignment="1">
      <alignment horizontal="center" vertical="center" wrapText="1"/>
    </xf>
    <xf numFmtId="4" fontId="2" fillId="48" borderId="25" xfId="0" applyNumberFormat="1" applyFont="1" applyFill="1" applyBorder="1" applyAlignment="1">
      <alignment horizontal="center" vertical="center" wrapText="1"/>
    </xf>
    <xf numFmtId="14" fontId="2" fillId="0" borderId="25" xfId="0" applyNumberFormat="1" applyFont="1" applyBorder="1" applyAlignment="1">
      <alignment horizontal="center" vertical="center" wrapText="1"/>
    </xf>
    <xf numFmtId="0" fontId="2" fillId="48" borderId="25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3" fontId="29" fillId="0" borderId="25" xfId="0" applyNumberFormat="1" applyFont="1" applyBorder="1" applyAlignment="1">
      <alignment vertical="center" wrapText="1"/>
    </xf>
    <xf numFmtId="3" fontId="29" fillId="0" borderId="25" xfId="0" applyNumberFormat="1" applyFont="1" applyBorder="1" applyAlignment="1">
      <alignment horizontal="center" vertical="center" wrapText="1"/>
    </xf>
    <xf numFmtId="0" fontId="38" fillId="52" borderId="25" xfId="0" applyFont="1" applyFill="1" applyBorder="1" applyAlignment="1">
      <alignment vertical="center" wrapText="1"/>
    </xf>
    <xf numFmtId="0" fontId="4" fillId="0" borderId="1" xfId="40" applyNumberFormat="1" applyFont="1" applyFill="1" applyBorder="1" applyAlignment="1" applyProtection="1">
      <alignment horizontal="left"/>
    </xf>
    <xf numFmtId="0" fontId="39" fillId="0" borderId="0" xfId="38" quotePrefix="1" applyNumberFormat="1" applyFont="1" applyAlignment="1" applyProtection="1">
      <alignment vertical="center" wrapText="1"/>
    </xf>
    <xf numFmtId="0" fontId="41" fillId="0" borderId="0" xfId="0" applyNumberFormat="1" applyFont="1" applyAlignment="1" applyProtection="1">
      <alignment vertical="center" wrapText="1"/>
    </xf>
    <xf numFmtId="0" fontId="41" fillId="0" borderId="0" xfId="0" applyNumberFormat="1" applyFont="1" applyAlignment="1" applyProtection="1">
      <alignment horizontal="center" vertical="center" wrapText="1"/>
    </xf>
    <xf numFmtId="14" fontId="42" fillId="0" borderId="0" xfId="0" applyNumberFormat="1" applyFont="1" applyAlignment="1" applyProtection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14" fontId="4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20" xfId="0" applyNumberFormat="1" applyFont="1" applyBorder="1" applyAlignment="1" applyProtection="1">
      <alignment vertical="center" wrapText="1"/>
    </xf>
    <xf numFmtId="0" fontId="41" fillId="0" borderId="0" xfId="0" applyNumberFormat="1" applyFont="1" applyBorder="1" applyAlignment="1" applyProtection="1">
      <alignment vertical="center" wrapText="1"/>
    </xf>
    <xf numFmtId="0" fontId="41" fillId="0" borderId="21" xfId="0" applyNumberFormat="1" applyFont="1" applyBorder="1" applyAlignment="1" applyProtection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4" xfId="0" applyFont="1" applyBorder="1" applyAlignment="1">
      <alignment wrapText="1"/>
    </xf>
    <xf numFmtId="14" fontId="4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23" xfId="0" applyNumberFormat="1" applyFont="1" applyFill="1" applyBorder="1" applyAlignment="1" applyProtection="1">
      <alignment horizontal="center" vertical="center" wrapText="1"/>
      <protection locked="0"/>
    </xf>
    <xf numFmtId="14" fontId="41" fillId="0" borderId="0" xfId="0" applyNumberFormat="1" applyFont="1" applyAlignment="1" applyProtection="1">
      <alignment vertical="center" wrapText="1"/>
    </xf>
    <xf numFmtId="165" fontId="41" fillId="0" borderId="0" xfId="0" applyNumberFormat="1" applyFont="1" applyAlignment="1" applyProtection="1">
      <alignment vertical="center" wrapText="1"/>
    </xf>
    <xf numFmtId="0" fontId="6" fillId="0" borderId="28" xfId="0" applyFont="1" applyBorder="1" applyAlignment="1">
      <alignment wrapText="1"/>
    </xf>
    <xf numFmtId="0" fontId="46" fillId="0" borderId="0" xfId="0" applyFont="1" applyAlignment="1">
      <alignment wrapText="1"/>
    </xf>
    <xf numFmtId="0" fontId="46" fillId="0" borderId="20" xfId="0" applyFont="1" applyBorder="1" applyAlignment="1">
      <alignment wrapText="1"/>
    </xf>
    <xf numFmtId="0" fontId="47" fillId="24" borderId="26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Border="1" applyAlignment="1">
      <alignment wrapText="1"/>
    </xf>
    <xf numFmtId="0" fontId="46" fillId="0" borderId="21" xfId="0" applyFont="1" applyBorder="1" applyAlignment="1">
      <alignment wrapText="1"/>
    </xf>
    <xf numFmtId="0" fontId="47" fillId="24" borderId="29" xfId="0" applyNumberFormat="1" applyFont="1" applyFill="1" applyBorder="1" applyAlignment="1" applyProtection="1">
      <alignment horizontal="center" vertical="center" wrapText="1"/>
    </xf>
    <xf numFmtId="0" fontId="47" fillId="24" borderId="30" xfId="0" applyNumberFormat="1" applyFont="1" applyFill="1" applyBorder="1" applyAlignment="1" applyProtection="1">
      <alignment horizontal="center" vertical="center" wrapText="1"/>
    </xf>
    <xf numFmtId="0" fontId="47" fillId="24" borderId="31" xfId="0" applyNumberFormat="1" applyFont="1" applyFill="1" applyBorder="1" applyAlignment="1" applyProtection="1">
      <alignment horizontal="center" vertical="center" wrapText="1"/>
    </xf>
    <xf numFmtId="0" fontId="49" fillId="0" borderId="2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49" fillId="0" borderId="21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6" fillId="0" borderId="20" xfId="0" applyNumberFormat="1" applyFont="1" applyBorder="1" applyAlignment="1">
      <alignment wrapText="1"/>
    </xf>
    <xf numFmtId="0" fontId="6" fillId="0" borderId="0" xfId="0" applyNumberFormat="1" applyFont="1" applyBorder="1" applyAlignment="1">
      <alignment wrapText="1"/>
    </xf>
    <xf numFmtId="0" fontId="6" fillId="0" borderId="2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0" fontId="41" fillId="36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0" fillId="38" borderId="32" xfId="0" applyNumberFormat="1" applyFont="1" applyFill="1" applyBorder="1" applyAlignment="1" applyProtection="1">
      <alignment horizontal="center" vertical="center" wrapText="1"/>
    </xf>
    <xf numFmtId="0" fontId="5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vertical="center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quotePrefix="1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52" fillId="0" borderId="0" xfId="0" applyFont="1" applyBorder="1" applyAlignment="1">
      <alignment horizontal="right" vertical="center"/>
    </xf>
    <xf numFmtId="0" fontId="25" fillId="0" borderId="38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38" borderId="0" xfId="0" applyFont="1" applyFill="1" applyBorder="1" applyAlignment="1">
      <alignment horizontal="center" vertical="center"/>
    </xf>
    <xf numFmtId="0" fontId="3" fillId="36" borderId="0" xfId="0" applyFont="1" applyFill="1" applyBorder="1" applyAlignment="1">
      <alignment horizontal="center" vertical="center"/>
    </xf>
    <xf numFmtId="0" fontId="3" fillId="35" borderId="0" xfId="0" applyFont="1" applyFill="1" applyBorder="1" applyAlignment="1">
      <alignment horizontal="center" vertical="center"/>
    </xf>
    <xf numFmtId="0" fontId="53" fillId="24" borderId="20" xfId="0" applyFont="1" applyFill="1" applyBorder="1" applyAlignment="1">
      <alignment horizontal="left" vertical="center"/>
    </xf>
    <xf numFmtId="0" fontId="53" fillId="24" borderId="0" xfId="0" applyFont="1" applyFill="1" applyBorder="1" applyAlignment="1">
      <alignment horizontal="left" vertical="center"/>
    </xf>
    <xf numFmtId="0" fontId="43" fillId="24" borderId="17" xfId="0" applyNumberFormat="1" applyFont="1" applyFill="1" applyBorder="1" applyAlignment="1" applyProtection="1">
      <alignment horizontal="center" vertical="center" wrapText="1"/>
    </xf>
    <xf numFmtId="0" fontId="43" fillId="24" borderId="18" xfId="0" applyNumberFormat="1" applyFont="1" applyFill="1" applyBorder="1" applyAlignment="1" applyProtection="1">
      <alignment horizontal="center" vertical="center" wrapText="1"/>
    </xf>
    <xf numFmtId="0" fontId="43" fillId="24" borderId="19" xfId="0" applyNumberFormat="1" applyFont="1" applyFill="1" applyBorder="1" applyAlignment="1" applyProtection="1">
      <alignment horizontal="center" vertical="center" wrapText="1"/>
    </xf>
    <xf numFmtId="0" fontId="40" fillId="38" borderId="33" xfId="0" applyNumberFormat="1" applyFont="1" applyFill="1" applyBorder="1" applyAlignment="1" applyProtection="1">
      <alignment horizontal="center" vertical="center" wrapText="1"/>
    </xf>
    <xf numFmtId="0" fontId="40" fillId="38" borderId="34" xfId="0" applyNumberFormat="1" applyFont="1" applyFill="1" applyBorder="1" applyAlignment="1" applyProtection="1">
      <alignment horizontal="center" vertical="center" wrapText="1"/>
    </xf>
    <xf numFmtId="0" fontId="40" fillId="38" borderId="35" xfId="0" applyNumberFormat="1" applyFont="1" applyFill="1" applyBorder="1" applyAlignment="1" applyProtection="1">
      <alignment horizontal="center" vertical="center" wrapText="1"/>
    </xf>
    <xf numFmtId="14" fontId="41" fillId="0" borderId="33" xfId="0" quotePrefix="1" applyNumberFormat="1" applyFont="1" applyFill="1" applyBorder="1" applyAlignment="1" applyProtection="1">
      <alignment horizontal="center" vertical="center" wrapText="1"/>
      <protection locked="0"/>
    </xf>
    <xf numFmtId="14" fontId="41" fillId="0" borderId="34" xfId="0" quotePrefix="1" applyNumberFormat="1" applyFont="1" applyFill="1" applyBorder="1" applyAlignment="1" applyProtection="1">
      <alignment horizontal="center" vertical="center" wrapText="1"/>
      <protection locked="0"/>
    </xf>
    <xf numFmtId="14" fontId="41" fillId="0" borderId="35" xfId="0" quotePrefix="1" applyNumberFormat="1" applyFont="1" applyFill="1" applyBorder="1" applyAlignment="1" applyProtection="1">
      <alignment horizontal="center" vertical="center" wrapText="1"/>
      <protection locked="0"/>
    </xf>
    <xf numFmtId="0" fontId="41" fillId="0" borderId="33" xfId="0" applyNumberFormat="1" applyFont="1" applyBorder="1" applyAlignment="1" applyProtection="1">
      <alignment horizontal="center" vertical="center" wrapText="1"/>
    </xf>
    <xf numFmtId="0" fontId="41" fillId="0" borderId="34" xfId="0" applyNumberFormat="1" applyFont="1" applyBorder="1" applyAlignment="1" applyProtection="1">
      <alignment horizontal="center" vertical="center" wrapText="1"/>
    </xf>
    <xf numFmtId="0" fontId="41" fillId="0" borderId="35" xfId="0" applyNumberFormat="1" applyFont="1" applyBorder="1" applyAlignment="1" applyProtection="1">
      <alignment horizontal="center" vertical="center" wrapText="1"/>
    </xf>
    <xf numFmtId="0" fontId="47" fillId="24" borderId="20" xfId="0" applyNumberFormat="1" applyFont="1" applyFill="1" applyBorder="1" applyAlignment="1" applyProtection="1">
      <alignment horizontal="center" vertical="center" wrapText="1"/>
    </xf>
    <xf numFmtId="0" fontId="47" fillId="24" borderId="0" xfId="0" applyNumberFormat="1" applyFont="1" applyFill="1" applyBorder="1" applyAlignment="1" applyProtection="1">
      <alignment horizontal="center" vertical="center" wrapText="1"/>
    </xf>
    <xf numFmtId="14" fontId="41" fillId="0" borderId="22" xfId="0" applyNumberFormat="1" applyFont="1" applyFill="1" applyBorder="1" applyAlignment="1" applyProtection="1">
      <alignment horizontal="center" vertical="center" wrapText="1"/>
      <protection locked="0"/>
    </xf>
    <xf numFmtId="14" fontId="41" fillId="0" borderId="24" xfId="0" applyNumberFormat="1" applyFont="1" applyFill="1" applyBorder="1" applyAlignment="1" applyProtection="1">
      <alignment horizontal="center" vertical="center" wrapText="1"/>
      <protection locked="0"/>
    </xf>
    <xf numFmtId="14" fontId="45" fillId="0" borderId="33" xfId="0" quotePrefix="1" applyNumberFormat="1" applyFont="1" applyFill="1" applyBorder="1" applyAlignment="1" applyProtection="1">
      <alignment horizontal="center" vertical="center" wrapText="1"/>
      <protection locked="0"/>
    </xf>
    <xf numFmtId="14" fontId="45" fillId="0" borderId="34" xfId="0" quotePrefix="1" applyNumberFormat="1" applyFont="1" applyFill="1" applyBorder="1" applyAlignment="1" applyProtection="1">
      <alignment horizontal="center" vertical="center" wrapText="1"/>
      <protection locked="0"/>
    </xf>
    <xf numFmtId="14" fontId="45" fillId="0" borderId="35" xfId="0" quotePrefix="1" applyNumberFormat="1" applyFont="1" applyFill="1" applyBorder="1" applyAlignment="1" applyProtection="1">
      <alignment horizontal="center" vertical="center" wrapText="1"/>
      <protection locked="0"/>
    </xf>
    <xf numFmtId="0" fontId="33" fillId="38" borderId="33" xfId="0" applyNumberFormat="1" applyFont="1" applyFill="1" applyBorder="1" applyAlignment="1" applyProtection="1">
      <alignment horizontal="center" vertical="center" wrapText="1"/>
    </xf>
    <xf numFmtId="0" fontId="33" fillId="38" borderId="34" xfId="0" applyNumberFormat="1" applyFont="1" applyFill="1" applyBorder="1" applyAlignment="1" applyProtection="1">
      <alignment horizontal="center" vertical="center" wrapText="1"/>
    </xf>
    <xf numFmtId="0" fontId="33" fillId="38" borderId="35" xfId="0" applyNumberFormat="1" applyFont="1" applyFill="1" applyBorder="1" applyAlignment="1" applyProtection="1">
      <alignment horizontal="center" vertical="center" wrapText="1"/>
    </xf>
    <xf numFmtId="0" fontId="44" fillId="0" borderId="0" xfId="0" quotePrefix="1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8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35" xfId="0" applyNumberFormat="1" applyFont="1" applyFill="1" applyBorder="1" applyAlignment="1" applyProtection="1">
      <alignment horizontal="center" vertical="center" wrapText="1"/>
      <protection locked="0"/>
    </xf>
    <xf numFmtId="14" fontId="40" fillId="38" borderId="33" xfId="0" applyNumberFormat="1" applyFont="1" applyFill="1" applyBorder="1" applyAlignment="1" applyProtection="1">
      <alignment horizontal="center" vertical="center" wrapText="1"/>
      <protection locked="0"/>
    </xf>
    <xf numFmtId="14" fontId="40" fillId="38" borderId="34" xfId="0" applyNumberFormat="1" applyFont="1" applyFill="1" applyBorder="1" applyAlignment="1" applyProtection="1">
      <alignment horizontal="center" vertical="center" wrapText="1"/>
      <protection locked="0"/>
    </xf>
    <xf numFmtId="14" fontId="40" fillId="38" borderId="35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37" xfId="0" applyNumberFormat="1" applyFont="1" applyFill="1" applyBorder="1" applyAlignment="1" applyProtection="1">
      <alignment horizontal="center" vertical="center" wrapText="1"/>
      <protection locked="0"/>
    </xf>
    <xf numFmtId="14" fontId="45" fillId="36" borderId="32" xfId="0" quotePrefix="1" applyNumberFormat="1" applyFont="1" applyFill="1" applyBorder="1" applyAlignment="1" applyProtection="1">
      <alignment horizontal="center" vertical="center" wrapText="1"/>
      <protection locked="0"/>
    </xf>
    <xf numFmtId="0" fontId="5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top" wrapText="1" readingOrder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omma" xfId="27" builtinId="3"/>
    <cellStyle name="Check Cell" xfId="28" builtinId="23" customBuiltin="1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3" xfId="39" xr:uid="{00000000-0005-0000-0000-000027000000}"/>
    <cellStyle name="Normal 4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Times New Roman" panose="02020603050405020304" pitchFamily="18" charset="0"/>
                <a:cs typeface="Times New Roman" panose="02020603050405020304" pitchFamily="18" charset="0"/>
              </a:rPr>
              <a:t>Tổng</a:t>
            </a:r>
            <a:r>
              <a:rPr lang="en-US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số ngày nghỉ phép theo từng tháng</a:t>
            </a:r>
            <a:endParaRPr lang="en-US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7.5367173887545217E-3"/>
          <c:y val="3.11775337146975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'DB''s Data'!$A$3</c:f>
              <c:strCache>
                <c:ptCount val="1"/>
                <c:pt idx="0">
                  <c:v>0001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'DB''s Data'!$B$2:$M$2</c:f>
              <c:strCache>
                <c:ptCount val="12"/>
                <c:pt idx="0">
                  <c:v>01/2020</c:v>
                </c:pt>
                <c:pt idx="1">
                  <c:v>02/2020</c:v>
                </c:pt>
                <c:pt idx="2">
                  <c:v>03/2020</c:v>
                </c:pt>
                <c:pt idx="3">
                  <c:v>04/2020</c:v>
                </c:pt>
                <c:pt idx="4">
                  <c:v>05/2020</c:v>
                </c:pt>
                <c:pt idx="5">
                  <c:v>06/2020</c:v>
                </c:pt>
                <c:pt idx="6">
                  <c:v>07/2020</c:v>
                </c:pt>
                <c:pt idx="7">
                  <c:v>08/2020</c:v>
                </c:pt>
                <c:pt idx="8">
                  <c:v>09/2020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</c:strCache>
            </c:strRef>
          </c:cat>
          <c:val>
            <c:numRef>
              <c:f>'DB''s Data'!$B$3:$M$3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2-49AE-8FB0-BD050CB4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753944"/>
        <c:axId val="585758536"/>
      </c:barChart>
      <c:catAx>
        <c:axId val="58575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758536"/>
        <c:crosses val="autoZero"/>
        <c:auto val="1"/>
        <c:lblAlgn val="ctr"/>
        <c:lblOffset val="100"/>
        <c:noMultiLvlLbl val="0"/>
      </c:catAx>
      <c:valAx>
        <c:axId val="585758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753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148345</xdr:colOff>
      <xdr:row>22</xdr:row>
      <xdr:rowOff>0</xdr:rowOff>
    </xdr:from>
    <xdr:to>
      <xdr:col>15</xdr:col>
      <xdr:colOff>1028270</xdr:colOff>
      <xdr:row>26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2F7DA0-5E0B-4E3B-B74C-C4BE88B86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B0907-8E54-4719-9B35-D1CD04B74048}">
  <sheetPr>
    <tabColor rgb="FFFFFF00"/>
  </sheetPr>
  <dimension ref="B2:I73"/>
  <sheetViews>
    <sheetView showGridLines="0" tabSelected="1" zoomScale="85" zoomScaleNormal="85" workbookViewId="0">
      <selection activeCell="E33" sqref="E33"/>
    </sheetView>
  </sheetViews>
  <sheetFormatPr defaultColWidth="8.7265625" defaultRowHeight="14" x14ac:dyDescent="0.35"/>
  <cols>
    <col min="1" max="1" width="4" style="61" customWidth="1"/>
    <col min="2" max="2" width="4.453125" style="61" customWidth="1"/>
    <col min="3" max="3" width="8.7265625" style="61"/>
    <col min="4" max="4" width="28.26953125" style="61" customWidth="1"/>
    <col min="5" max="8" width="28.6328125" style="61" customWidth="1"/>
    <col min="9" max="9" width="3.6328125" style="61" customWidth="1"/>
    <col min="10" max="16384" width="8.7265625" style="61"/>
  </cols>
  <sheetData>
    <row r="2" spans="2:9" ht="34.5" x14ac:dyDescent="0.35">
      <c r="B2" s="205" t="s">
        <v>191</v>
      </c>
      <c r="C2" s="206"/>
      <c r="D2" s="206"/>
      <c r="E2" s="206"/>
      <c r="F2" s="206"/>
      <c r="G2" s="206"/>
      <c r="H2" s="206"/>
      <c r="I2" s="206"/>
    </row>
    <row r="3" spans="2:9" ht="10.5" customHeight="1" x14ac:dyDescent="0.35">
      <c r="B3" s="188"/>
      <c r="C3" s="189"/>
      <c r="D3" s="190"/>
      <c r="E3" s="190"/>
      <c r="F3" s="190"/>
      <c r="G3" s="190"/>
      <c r="I3" s="191"/>
    </row>
    <row r="4" spans="2:9" ht="20" customHeight="1" x14ac:dyDescent="0.35">
      <c r="B4" s="188"/>
      <c r="C4" s="189" t="s">
        <v>193</v>
      </c>
      <c r="D4" s="190"/>
      <c r="E4" s="190"/>
      <c r="F4" s="190"/>
      <c r="G4" s="61" t="s">
        <v>512</v>
      </c>
      <c r="I4" s="191"/>
    </row>
    <row r="5" spans="2:9" ht="20" customHeight="1" x14ac:dyDescent="0.35">
      <c r="B5" s="188"/>
      <c r="C5" s="189" t="s">
        <v>192</v>
      </c>
      <c r="D5" s="190"/>
      <c r="E5" s="190"/>
      <c r="F5" s="190"/>
      <c r="G5" s="202" t="s">
        <v>98</v>
      </c>
      <c r="H5" s="61" t="s">
        <v>514</v>
      </c>
      <c r="I5" s="191"/>
    </row>
    <row r="6" spans="2:9" ht="20" customHeight="1" x14ac:dyDescent="0.35">
      <c r="B6" s="188"/>
      <c r="C6" s="189" t="s">
        <v>197</v>
      </c>
      <c r="D6" s="190"/>
      <c r="E6" s="190"/>
      <c r="F6" s="190"/>
      <c r="G6" s="203" t="s">
        <v>513</v>
      </c>
      <c r="H6" s="61" t="s">
        <v>515</v>
      </c>
      <c r="I6" s="191"/>
    </row>
    <row r="7" spans="2:9" ht="20" customHeight="1" x14ac:dyDescent="0.35">
      <c r="B7" s="188"/>
      <c r="C7" s="189" t="s">
        <v>194</v>
      </c>
      <c r="D7" s="190"/>
      <c r="E7" s="190"/>
      <c r="F7" s="190"/>
      <c r="G7" s="204" t="s">
        <v>99</v>
      </c>
      <c r="H7" s="61" t="s">
        <v>516</v>
      </c>
      <c r="I7" s="191"/>
    </row>
    <row r="8" spans="2:9" ht="20" customHeight="1" x14ac:dyDescent="0.35">
      <c r="B8" s="188"/>
      <c r="C8" s="189" t="s">
        <v>195</v>
      </c>
      <c r="D8" s="190"/>
      <c r="E8" s="190"/>
      <c r="F8" s="190"/>
      <c r="G8" s="190"/>
      <c r="I8" s="191"/>
    </row>
    <row r="9" spans="2:9" ht="20" customHeight="1" x14ac:dyDescent="0.35">
      <c r="B9" s="188"/>
      <c r="C9" s="189" t="s">
        <v>196</v>
      </c>
      <c r="D9" s="190"/>
      <c r="E9" s="190"/>
      <c r="F9" s="190"/>
      <c r="G9" s="190"/>
      <c r="I9" s="191"/>
    </row>
    <row r="10" spans="2:9" ht="8" customHeight="1" thickBot="1" x14ac:dyDescent="0.4">
      <c r="B10" s="192"/>
      <c r="C10" s="193"/>
      <c r="D10" s="194"/>
      <c r="E10" s="194"/>
      <c r="F10" s="194"/>
      <c r="G10" s="194"/>
      <c r="H10" s="194"/>
      <c r="I10" s="195"/>
    </row>
    <row r="11" spans="2:9" ht="14.5" thickTop="1" x14ac:dyDescent="0.35"/>
    <row r="12" spans="2:9" ht="34.5" x14ac:dyDescent="0.35">
      <c r="B12" s="205" t="s">
        <v>249</v>
      </c>
      <c r="C12" s="206"/>
      <c r="D12" s="206"/>
      <c r="E12" s="206"/>
      <c r="F12" s="206"/>
      <c r="G12" s="206"/>
      <c r="H12" s="206"/>
      <c r="I12" s="206"/>
    </row>
    <row r="13" spans="2:9" ht="10" customHeight="1" x14ac:dyDescent="0.35">
      <c r="B13" s="188"/>
      <c r="D13" s="190"/>
      <c r="E13" s="190"/>
      <c r="F13" s="190"/>
      <c r="G13" s="190"/>
      <c r="I13" s="191"/>
    </row>
    <row r="14" spans="2:9" ht="17" customHeight="1" x14ac:dyDescent="0.35">
      <c r="B14" s="188"/>
      <c r="C14" s="189" t="s">
        <v>511</v>
      </c>
      <c r="D14" s="190"/>
      <c r="E14" s="190"/>
      <c r="F14" s="190"/>
      <c r="G14" s="190"/>
      <c r="I14" s="191"/>
    </row>
    <row r="15" spans="2:9" ht="17" customHeight="1" x14ac:dyDescent="0.35">
      <c r="B15" s="188"/>
      <c r="C15" s="189" t="s">
        <v>509</v>
      </c>
      <c r="D15" s="190"/>
      <c r="E15" s="190"/>
      <c r="F15" s="190"/>
      <c r="G15" s="190"/>
      <c r="I15" s="191"/>
    </row>
    <row r="16" spans="2:9" ht="17" customHeight="1" x14ac:dyDescent="0.35">
      <c r="B16" s="188"/>
      <c r="C16" s="189" t="s">
        <v>510</v>
      </c>
      <c r="D16" s="190"/>
      <c r="E16" s="190"/>
      <c r="F16" s="190"/>
      <c r="G16" s="190"/>
      <c r="I16" s="191"/>
    </row>
    <row r="17" spans="2:9" ht="10.5" customHeight="1" thickBot="1" x14ac:dyDescent="0.4">
      <c r="B17" s="192"/>
      <c r="C17" s="194"/>
      <c r="D17" s="194"/>
      <c r="E17" s="194"/>
      <c r="F17" s="194"/>
      <c r="G17" s="194"/>
      <c r="H17" s="194"/>
      <c r="I17" s="195"/>
    </row>
    <row r="18" spans="2:9" ht="14.5" thickTop="1" x14ac:dyDescent="0.35"/>
    <row r="19" spans="2:9" ht="34.5" x14ac:dyDescent="0.35">
      <c r="B19" s="205" t="s">
        <v>173</v>
      </c>
      <c r="C19" s="206"/>
      <c r="D19" s="206"/>
      <c r="E19" s="206"/>
      <c r="F19" s="206"/>
      <c r="G19" s="206"/>
      <c r="H19" s="206"/>
      <c r="I19" s="206"/>
    </row>
    <row r="20" spans="2:9" ht="8" customHeight="1" x14ac:dyDescent="0.35">
      <c r="B20" s="188"/>
      <c r="C20" s="189"/>
      <c r="D20" s="190"/>
      <c r="E20" s="190"/>
      <c r="F20" s="190"/>
      <c r="G20" s="190"/>
      <c r="H20" s="196"/>
      <c r="I20" s="191"/>
    </row>
    <row r="21" spans="2:9" x14ac:dyDescent="0.35">
      <c r="B21" s="188"/>
      <c r="C21" s="189" t="s">
        <v>174</v>
      </c>
      <c r="D21" s="190"/>
      <c r="E21" s="190"/>
      <c r="F21" s="190"/>
      <c r="G21" s="190"/>
      <c r="H21" s="199" t="s">
        <v>208</v>
      </c>
      <c r="I21" s="191"/>
    </row>
    <row r="22" spans="2:9" x14ac:dyDescent="0.35">
      <c r="B22" s="188"/>
      <c r="C22" s="83" t="s">
        <v>207</v>
      </c>
      <c r="D22" s="83" t="s">
        <v>206</v>
      </c>
      <c r="E22" s="83" t="s">
        <v>134</v>
      </c>
      <c r="F22" s="83" t="s">
        <v>135</v>
      </c>
      <c r="G22" s="83" t="s">
        <v>136</v>
      </c>
      <c r="H22" s="83" t="s">
        <v>137</v>
      </c>
      <c r="I22" s="191"/>
    </row>
    <row r="23" spans="2:9" x14ac:dyDescent="0.35">
      <c r="B23" s="188"/>
      <c r="C23" s="80">
        <v>1</v>
      </c>
      <c r="D23" s="81">
        <v>0</v>
      </c>
      <c r="E23" s="79" t="s">
        <v>139</v>
      </c>
      <c r="F23" s="79" t="s">
        <v>138</v>
      </c>
      <c r="G23" s="79" t="s">
        <v>138</v>
      </c>
      <c r="H23" s="79" t="s">
        <v>138</v>
      </c>
      <c r="I23" s="191"/>
    </row>
    <row r="24" spans="2:9" x14ac:dyDescent="0.35">
      <c r="B24" s="188"/>
      <c r="C24" s="80">
        <v>2</v>
      </c>
      <c r="D24" s="81">
        <v>0</v>
      </c>
      <c r="E24" s="79" t="s">
        <v>140</v>
      </c>
      <c r="F24" s="79" t="s">
        <v>138</v>
      </c>
      <c r="G24" s="79" t="s">
        <v>138</v>
      </c>
      <c r="H24" s="79" t="s">
        <v>138</v>
      </c>
      <c r="I24" s="191"/>
    </row>
    <row r="25" spans="2:9" x14ac:dyDescent="0.35">
      <c r="B25" s="188"/>
      <c r="C25" s="80">
        <v>3</v>
      </c>
      <c r="D25" s="81">
        <v>0</v>
      </c>
      <c r="E25" s="79" t="s">
        <v>141</v>
      </c>
      <c r="F25" s="79" t="s">
        <v>138</v>
      </c>
      <c r="G25" s="79" t="s">
        <v>138</v>
      </c>
      <c r="H25" s="79" t="s">
        <v>138</v>
      </c>
      <c r="I25" s="191"/>
    </row>
    <row r="26" spans="2:9" x14ac:dyDescent="0.35">
      <c r="B26" s="188"/>
      <c r="C26" s="82">
        <v>4</v>
      </c>
      <c r="D26" s="81">
        <v>0</v>
      </c>
      <c r="E26" s="79" t="s">
        <v>166</v>
      </c>
      <c r="F26" s="79" t="s">
        <v>138</v>
      </c>
      <c r="G26" s="79" t="s">
        <v>138</v>
      </c>
      <c r="H26" s="79" t="s">
        <v>138</v>
      </c>
      <c r="I26" s="191"/>
    </row>
    <row r="27" spans="2:9" x14ac:dyDescent="0.35">
      <c r="B27" s="188"/>
      <c r="C27" s="82">
        <v>5</v>
      </c>
      <c r="D27" s="79">
        <v>1</v>
      </c>
      <c r="E27" s="79" t="s">
        <v>144</v>
      </c>
      <c r="F27" s="79" t="s">
        <v>167</v>
      </c>
      <c r="G27" s="79" t="s">
        <v>138</v>
      </c>
      <c r="H27" s="79" t="s">
        <v>138</v>
      </c>
      <c r="I27" s="191"/>
    </row>
    <row r="28" spans="2:9" x14ac:dyDescent="0.35">
      <c r="B28" s="188"/>
      <c r="C28" s="82">
        <v>6</v>
      </c>
      <c r="D28" s="79">
        <v>1</v>
      </c>
      <c r="E28" s="79" t="s">
        <v>143</v>
      </c>
      <c r="F28" s="79" t="s">
        <v>145</v>
      </c>
      <c r="G28" s="79" t="s">
        <v>146</v>
      </c>
      <c r="H28" s="79" t="s">
        <v>138</v>
      </c>
      <c r="I28" s="191"/>
    </row>
    <row r="29" spans="2:9" x14ac:dyDescent="0.35">
      <c r="B29" s="188"/>
      <c r="C29" s="82">
        <v>7</v>
      </c>
      <c r="D29" s="79" t="s">
        <v>164</v>
      </c>
      <c r="E29" s="79" t="s">
        <v>147</v>
      </c>
      <c r="F29" s="79" t="s">
        <v>148</v>
      </c>
      <c r="G29" s="79" t="s">
        <v>149</v>
      </c>
      <c r="H29" s="79" t="s">
        <v>138</v>
      </c>
      <c r="I29" s="191"/>
    </row>
    <row r="30" spans="2:9" x14ac:dyDescent="0.35">
      <c r="B30" s="188"/>
      <c r="C30" s="82">
        <v>8</v>
      </c>
      <c r="D30" s="79" t="s">
        <v>165</v>
      </c>
      <c r="E30" s="79" t="s">
        <v>150</v>
      </c>
      <c r="F30" s="79" t="s">
        <v>148</v>
      </c>
      <c r="G30" s="79" t="s">
        <v>151</v>
      </c>
      <c r="H30" s="79" t="s">
        <v>138</v>
      </c>
      <c r="I30" s="191"/>
    </row>
    <row r="31" spans="2:9" x14ac:dyDescent="0.35">
      <c r="B31" s="188"/>
      <c r="C31" s="82">
        <v>9</v>
      </c>
      <c r="D31" s="79" t="s">
        <v>17</v>
      </c>
      <c r="E31" s="79" t="s">
        <v>150</v>
      </c>
      <c r="F31" s="79" t="s">
        <v>171</v>
      </c>
      <c r="G31" s="79" t="s">
        <v>138</v>
      </c>
      <c r="H31" s="79" t="s">
        <v>138</v>
      </c>
      <c r="I31" s="191"/>
    </row>
    <row r="32" spans="2:9" x14ac:dyDescent="0.35">
      <c r="B32" s="188"/>
      <c r="C32" s="82">
        <v>10</v>
      </c>
      <c r="D32" s="79" t="s">
        <v>160</v>
      </c>
      <c r="E32" s="79" t="s">
        <v>150</v>
      </c>
      <c r="F32" s="79" t="s">
        <v>153</v>
      </c>
      <c r="G32" s="79" t="s">
        <v>205</v>
      </c>
      <c r="H32" s="79" t="s">
        <v>138</v>
      </c>
      <c r="I32" s="191"/>
    </row>
    <row r="33" spans="2:9" x14ac:dyDescent="0.35">
      <c r="B33" s="188"/>
      <c r="C33" s="82">
        <v>11</v>
      </c>
      <c r="D33" s="79" t="s">
        <v>161</v>
      </c>
      <c r="E33" s="79" t="s">
        <v>154</v>
      </c>
      <c r="F33" s="79" t="s">
        <v>155</v>
      </c>
      <c r="G33" s="79" t="s">
        <v>156</v>
      </c>
      <c r="H33" s="79" t="s">
        <v>157</v>
      </c>
      <c r="I33" s="191"/>
    </row>
    <row r="34" spans="2:9" x14ac:dyDescent="0.35">
      <c r="B34" s="188"/>
      <c r="C34" s="82">
        <v>12</v>
      </c>
      <c r="D34" s="79" t="s">
        <v>161</v>
      </c>
      <c r="E34" s="79" t="s">
        <v>154</v>
      </c>
      <c r="F34" s="79" t="s">
        <v>142</v>
      </c>
      <c r="G34" s="79" t="s">
        <v>171</v>
      </c>
      <c r="H34" s="79" t="s">
        <v>138</v>
      </c>
      <c r="I34" s="191"/>
    </row>
    <row r="35" spans="2:9" x14ac:dyDescent="0.35">
      <c r="B35" s="188"/>
      <c r="C35" s="82">
        <v>13</v>
      </c>
      <c r="D35" s="79" t="s">
        <v>162</v>
      </c>
      <c r="E35" s="79" t="s">
        <v>154</v>
      </c>
      <c r="F35" s="79" t="s">
        <v>155</v>
      </c>
      <c r="G35" s="79" t="s">
        <v>171</v>
      </c>
      <c r="H35" s="79" t="s">
        <v>138</v>
      </c>
      <c r="I35" s="191"/>
    </row>
    <row r="36" spans="2:9" x14ac:dyDescent="0.35">
      <c r="B36" s="188"/>
      <c r="C36" s="82">
        <v>14</v>
      </c>
      <c r="D36" s="79" t="s">
        <v>163</v>
      </c>
      <c r="E36" s="79" t="s">
        <v>154</v>
      </c>
      <c r="F36" s="79" t="s">
        <v>142</v>
      </c>
      <c r="G36" s="79" t="s">
        <v>156</v>
      </c>
      <c r="H36" s="79" t="s">
        <v>172</v>
      </c>
      <c r="I36" s="191"/>
    </row>
    <row r="37" spans="2:9" x14ac:dyDescent="0.35">
      <c r="B37" s="188"/>
      <c r="C37" s="81">
        <v>15</v>
      </c>
      <c r="D37" s="81" t="s">
        <v>202</v>
      </c>
      <c r="E37" s="79" t="s">
        <v>154</v>
      </c>
      <c r="F37" s="79" t="s">
        <v>155</v>
      </c>
      <c r="G37" s="79" t="s">
        <v>151</v>
      </c>
      <c r="H37" s="79" t="s">
        <v>201</v>
      </c>
      <c r="I37" s="191"/>
    </row>
    <row r="38" spans="2:9" x14ac:dyDescent="0.35">
      <c r="B38" s="188"/>
      <c r="C38" s="81">
        <v>16</v>
      </c>
      <c r="D38" s="81" t="s">
        <v>203</v>
      </c>
      <c r="E38" s="79" t="s">
        <v>154</v>
      </c>
      <c r="F38" s="79" t="s">
        <v>155</v>
      </c>
      <c r="G38" s="79" t="s">
        <v>149</v>
      </c>
      <c r="H38" s="79" t="s">
        <v>201</v>
      </c>
      <c r="I38" s="191"/>
    </row>
    <row r="39" spans="2:9" x14ac:dyDescent="0.35">
      <c r="B39" s="188"/>
      <c r="C39" s="81">
        <v>17</v>
      </c>
      <c r="D39" s="81" t="s">
        <v>204</v>
      </c>
      <c r="E39" s="79" t="s">
        <v>154</v>
      </c>
      <c r="F39" s="79" t="s">
        <v>142</v>
      </c>
      <c r="G39" s="79" t="s">
        <v>151</v>
      </c>
      <c r="H39" s="79" t="s">
        <v>201</v>
      </c>
      <c r="I39" s="191"/>
    </row>
    <row r="40" spans="2:9" x14ac:dyDescent="0.35">
      <c r="B40" s="188"/>
      <c r="C40" s="81">
        <v>18</v>
      </c>
      <c r="D40" s="81" t="s">
        <v>202</v>
      </c>
      <c r="E40" s="79" t="s">
        <v>154</v>
      </c>
      <c r="F40" s="79" t="s">
        <v>142</v>
      </c>
      <c r="G40" s="79" t="s">
        <v>149</v>
      </c>
      <c r="H40" s="79" t="s">
        <v>201</v>
      </c>
      <c r="I40" s="191"/>
    </row>
    <row r="41" spans="2:9" ht="14.5" thickBot="1" x14ac:dyDescent="0.4">
      <c r="B41" s="192"/>
      <c r="C41" s="77"/>
      <c r="D41" s="77"/>
      <c r="E41" s="78"/>
      <c r="F41" s="78"/>
      <c r="G41" s="78"/>
      <c r="H41" s="78"/>
      <c r="I41" s="195"/>
    </row>
    <row r="42" spans="2:9" ht="14.5" thickTop="1" x14ac:dyDescent="0.35">
      <c r="C42" s="55"/>
      <c r="D42" s="55"/>
      <c r="E42" s="53"/>
      <c r="F42" s="53"/>
      <c r="G42" s="53"/>
      <c r="H42" s="53"/>
    </row>
    <row r="43" spans="2:9" ht="34.5" x14ac:dyDescent="0.35">
      <c r="B43" s="205" t="s">
        <v>502</v>
      </c>
      <c r="C43" s="206"/>
      <c r="D43" s="206"/>
      <c r="E43" s="206"/>
      <c r="F43" s="206"/>
      <c r="G43" s="206"/>
      <c r="H43" s="206"/>
      <c r="I43" s="206"/>
    </row>
    <row r="44" spans="2:9" x14ac:dyDescent="0.35">
      <c r="B44" s="188"/>
      <c r="C44" s="197"/>
      <c r="D44" s="190"/>
      <c r="E44" s="190"/>
      <c r="F44" s="190"/>
      <c r="G44" s="190"/>
      <c r="H44" s="190"/>
      <c r="I44" s="191"/>
    </row>
    <row r="45" spans="2:9" x14ac:dyDescent="0.35">
      <c r="B45" s="188"/>
      <c r="C45" s="197" t="s">
        <v>175</v>
      </c>
      <c r="D45" s="190" t="s">
        <v>496</v>
      </c>
      <c r="E45" s="190"/>
      <c r="F45" s="190"/>
      <c r="G45" s="190"/>
      <c r="H45" s="190"/>
      <c r="I45" s="191"/>
    </row>
    <row r="46" spans="2:9" ht="14.5" thickBot="1" x14ac:dyDescent="0.4">
      <c r="B46" s="188"/>
      <c r="C46" s="190"/>
      <c r="D46" s="190"/>
      <c r="E46" s="190"/>
      <c r="F46" s="190"/>
      <c r="G46" s="190"/>
      <c r="H46" s="190"/>
      <c r="I46" s="191"/>
    </row>
    <row r="47" spans="2:9" ht="14.5" thickTop="1" x14ac:dyDescent="0.35">
      <c r="B47" s="188"/>
      <c r="C47" s="200" t="s">
        <v>176</v>
      </c>
      <c r="D47" s="201" t="s">
        <v>497</v>
      </c>
      <c r="E47" s="201"/>
      <c r="F47" s="201"/>
      <c r="G47" s="201"/>
      <c r="H47" s="201"/>
      <c r="I47" s="191"/>
    </row>
    <row r="48" spans="2:9" x14ac:dyDescent="0.35">
      <c r="B48" s="188"/>
      <c r="C48" s="197"/>
      <c r="D48" s="189" t="s">
        <v>498</v>
      </c>
      <c r="E48" s="190"/>
      <c r="F48" s="190"/>
      <c r="G48" s="190"/>
      <c r="H48" s="190"/>
      <c r="I48" s="191"/>
    </row>
    <row r="49" spans="2:9" x14ac:dyDescent="0.35">
      <c r="B49" s="188"/>
      <c r="C49" s="197"/>
      <c r="D49" s="189" t="s">
        <v>499</v>
      </c>
      <c r="E49" s="190"/>
      <c r="F49" s="190"/>
      <c r="G49" s="190"/>
      <c r="H49" s="190"/>
      <c r="I49" s="191"/>
    </row>
    <row r="50" spans="2:9" x14ac:dyDescent="0.35">
      <c r="B50" s="188"/>
      <c r="C50" s="197"/>
      <c r="D50" s="189" t="s">
        <v>500</v>
      </c>
      <c r="E50" s="190"/>
      <c r="F50" s="190"/>
      <c r="G50" s="190"/>
      <c r="H50" s="190"/>
      <c r="I50" s="191"/>
    </row>
    <row r="51" spans="2:9" x14ac:dyDescent="0.35">
      <c r="B51" s="188"/>
      <c r="C51" s="197"/>
      <c r="D51" s="189" t="s">
        <v>501</v>
      </c>
      <c r="E51" s="190"/>
      <c r="F51" s="190"/>
      <c r="G51" s="190"/>
      <c r="H51" s="190"/>
      <c r="I51" s="191"/>
    </row>
    <row r="52" spans="2:9" ht="14.5" thickBot="1" x14ac:dyDescent="0.4">
      <c r="B52" s="188"/>
      <c r="C52" s="190"/>
      <c r="D52" s="190"/>
      <c r="E52" s="190"/>
      <c r="F52" s="190"/>
      <c r="G52" s="190"/>
      <c r="H52" s="190"/>
      <c r="I52" s="191"/>
    </row>
    <row r="53" spans="2:9" ht="14.5" thickTop="1" x14ac:dyDescent="0.35">
      <c r="B53" s="188"/>
      <c r="C53" s="200" t="s">
        <v>177</v>
      </c>
      <c r="D53" s="201" t="s">
        <v>503</v>
      </c>
      <c r="E53" s="201"/>
      <c r="F53" s="201"/>
      <c r="G53" s="201"/>
      <c r="H53" s="201"/>
      <c r="I53" s="191"/>
    </row>
    <row r="54" spans="2:9" ht="14.5" thickBot="1" x14ac:dyDescent="0.4">
      <c r="B54" s="188"/>
      <c r="C54" s="197"/>
      <c r="D54" s="189"/>
      <c r="E54" s="190"/>
      <c r="F54" s="190"/>
      <c r="G54" s="190"/>
      <c r="H54" s="190"/>
      <c r="I54" s="191"/>
    </row>
    <row r="55" spans="2:9" ht="14.5" thickTop="1" x14ac:dyDescent="0.35">
      <c r="B55" s="188"/>
      <c r="C55" s="200" t="s">
        <v>178</v>
      </c>
      <c r="D55" s="201" t="s">
        <v>504</v>
      </c>
      <c r="E55" s="201"/>
      <c r="F55" s="201"/>
      <c r="G55" s="201"/>
      <c r="H55" s="201"/>
      <c r="I55" s="191"/>
    </row>
    <row r="56" spans="2:9" ht="14.5" thickBot="1" x14ac:dyDescent="0.4">
      <c r="B56" s="188"/>
      <c r="C56" s="190"/>
      <c r="D56" s="190"/>
      <c r="E56" s="190"/>
      <c r="F56" s="190"/>
      <c r="G56" s="190"/>
      <c r="H56" s="190"/>
      <c r="I56" s="191"/>
    </row>
    <row r="57" spans="2:9" ht="14.5" thickTop="1" x14ac:dyDescent="0.35">
      <c r="B57" s="188"/>
      <c r="C57" s="200" t="s">
        <v>179</v>
      </c>
      <c r="D57" s="201" t="s">
        <v>505</v>
      </c>
      <c r="E57" s="201"/>
      <c r="F57" s="201"/>
      <c r="G57" s="201"/>
      <c r="H57" s="201"/>
      <c r="I57" s="191"/>
    </row>
    <row r="58" spans="2:9" ht="14.5" thickBot="1" x14ac:dyDescent="0.4">
      <c r="B58" s="188"/>
      <c r="C58" s="190"/>
      <c r="D58" s="190"/>
      <c r="E58" s="190"/>
      <c r="F58" s="190"/>
      <c r="G58" s="190"/>
      <c r="H58" s="190"/>
      <c r="I58" s="191"/>
    </row>
    <row r="59" spans="2:9" ht="14.5" thickTop="1" x14ac:dyDescent="0.35">
      <c r="B59" s="188"/>
      <c r="C59" s="200" t="s">
        <v>181</v>
      </c>
      <c r="D59" s="201" t="s">
        <v>506</v>
      </c>
      <c r="E59" s="201"/>
      <c r="F59" s="201"/>
      <c r="G59" s="201"/>
      <c r="H59" s="201"/>
      <c r="I59" s="191"/>
    </row>
    <row r="60" spans="2:9" x14ac:dyDescent="0.35">
      <c r="B60" s="188"/>
      <c r="C60" s="190"/>
      <c r="D60" s="190" t="s">
        <v>180</v>
      </c>
      <c r="E60" s="190"/>
      <c r="F60" s="190"/>
      <c r="G60" s="190"/>
      <c r="H60" s="190"/>
      <c r="I60" s="191"/>
    </row>
    <row r="61" spans="2:9" ht="14.5" thickBot="1" x14ac:dyDescent="0.4">
      <c r="B61" s="188"/>
      <c r="C61" s="190"/>
      <c r="D61" s="190"/>
      <c r="E61" s="190"/>
      <c r="F61" s="190"/>
      <c r="G61" s="190"/>
      <c r="H61" s="190"/>
      <c r="I61" s="191"/>
    </row>
    <row r="62" spans="2:9" ht="14.5" thickTop="1" x14ac:dyDescent="0.35">
      <c r="B62" s="188"/>
      <c r="C62" s="200" t="s">
        <v>185</v>
      </c>
      <c r="D62" s="201" t="s">
        <v>507</v>
      </c>
      <c r="E62" s="201"/>
      <c r="F62" s="201"/>
      <c r="G62" s="201"/>
      <c r="H62" s="201"/>
      <c r="I62" s="191"/>
    </row>
    <row r="63" spans="2:9" ht="14.5" thickBot="1" x14ac:dyDescent="0.4">
      <c r="B63" s="188"/>
      <c r="C63" s="190"/>
      <c r="D63" s="190"/>
      <c r="E63" s="190"/>
      <c r="F63" s="190"/>
      <c r="G63" s="190"/>
      <c r="H63" s="190"/>
      <c r="I63" s="191"/>
    </row>
    <row r="64" spans="2:9" ht="14.5" thickTop="1" x14ac:dyDescent="0.35">
      <c r="B64" s="188"/>
      <c r="C64" s="200" t="s">
        <v>190</v>
      </c>
      <c r="D64" s="201" t="s">
        <v>182</v>
      </c>
      <c r="E64" s="201"/>
      <c r="F64" s="201"/>
      <c r="G64" s="201"/>
      <c r="H64" s="201"/>
      <c r="I64" s="191"/>
    </row>
    <row r="65" spans="2:9" x14ac:dyDescent="0.35">
      <c r="B65" s="188"/>
      <c r="C65" s="190"/>
      <c r="D65" s="189" t="s">
        <v>183</v>
      </c>
      <c r="E65" s="190"/>
      <c r="F65" s="190"/>
      <c r="G65" s="190"/>
      <c r="H65" s="190"/>
      <c r="I65" s="191"/>
    </row>
    <row r="66" spans="2:9" x14ac:dyDescent="0.35">
      <c r="B66" s="188"/>
      <c r="C66" s="190"/>
      <c r="D66" s="189" t="s">
        <v>184</v>
      </c>
      <c r="E66" s="190"/>
      <c r="F66" s="190"/>
      <c r="G66" s="190"/>
      <c r="H66" s="190"/>
      <c r="I66" s="191"/>
    </row>
    <row r="67" spans="2:9" ht="14.5" thickBot="1" x14ac:dyDescent="0.4">
      <c r="B67" s="188"/>
      <c r="C67" s="190"/>
      <c r="D67" s="190"/>
      <c r="E67" s="190"/>
      <c r="F67" s="190"/>
      <c r="G67" s="190"/>
      <c r="H67" s="190"/>
      <c r="I67" s="191"/>
    </row>
    <row r="68" spans="2:9" ht="14.5" thickTop="1" x14ac:dyDescent="0.35">
      <c r="B68" s="188"/>
      <c r="C68" s="200" t="s">
        <v>508</v>
      </c>
      <c r="D68" s="201" t="s">
        <v>186</v>
      </c>
      <c r="E68" s="201"/>
      <c r="F68" s="201"/>
      <c r="G68" s="201"/>
      <c r="H68" s="201"/>
      <c r="I68" s="191"/>
    </row>
    <row r="69" spans="2:9" x14ac:dyDescent="0.35">
      <c r="B69" s="188"/>
      <c r="C69" s="190"/>
      <c r="D69" s="189" t="s">
        <v>187</v>
      </c>
      <c r="E69" s="190"/>
      <c r="F69" s="190"/>
      <c r="G69" s="190"/>
      <c r="H69" s="190"/>
      <c r="I69" s="191"/>
    </row>
    <row r="70" spans="2:9" x14ac:dyDescent="0.35">
      <c r="B70" s="188"/>
      <c r="C70" s="190"/>
      <c r="D70" s="189" t="s">
        <v>188</v>
      </c>
      <c r="E70" s="190"/>
      <c r="F70" s="190"/>
      <c r="G70" s="190"/>
      <c r="H70" s="190"/>
      <c r="I70" s="191"/>
    </row>
    <row r="71" spans="2:9" x14ac:dyDescent="0.35">
      <c r="B71" s="188"/>
      <c r="C71" s="190"/>
      <c r="D71" s="189" t="s">
        <v>189</v>
      </c>
      <c r="E71" s="190"/>
      <c r="F71" s="190"/>
      <c r="G71" s="190"/>
      <c r="H71" s="190"/>
      <c r="I71" s="191"/>
    </row>
    <row r="72" spans="2:9" ht="14.5" thickBot="1" x14ac:dyDescent="0.4">
      <c r="B72" s="192"/>
      <c r="C72" s="194"/>
      <c r="D72" s="194"/>
      <c r="E72" s="194"/>
      <c r="F72" s="194"/>
      <c r="G72" s="194"/>
      <c r="H72" s="194"/>
      <c r="I72" s="195"/>
    </row>
    <row r="73" spans="2:9" ht="14.5" thickTop="1" x14ac:dyDescent="0.35">
      <c r="B73" s="198"/>
    </row>
  </sheetData>
  <mergeCells count="4">
    <mergeCell ref="B43:I43"/>
    <mergeCell ref="B19:I19"/>
    <mergeCell ref="B2:I2"/>
    <mergeCell ref="B12:I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3645A-FD2B-4713-BC7A-E02671250825}">
  <dimension ref="A1:Y97"/>
  <sheetViews>
    <sheetView zoomScale="70" zoomScaleNormal="70" workbookViewId="0">
      <pane ySplit="15" topLeftCell="A16" activePane="bottomLeft" state="frozen"/>
      <selection pane="bottomLeft" activeCell="A15" sqref="A15"/>
    </sheetView>
  </sheetViews>
  <sheetFormatPr defaultColWidth="8.7265625" defaultRowHeight="14" x14ac:dyDescent="0.35"/>
  <cols>
    <col min="1" max="1" width="11.1796875" style="55" customWidth="1"/>
    <col min="2" max="2" width="4.81640625" style="55" customWidth="1"/>
    <col min="3" max="3" width="4" style="55" customWidth="1"/>
    <col min="4" max="4" width="11.1796875" style="55" customWidth="1"/>
    <col min="5" max="5" width="25.7265625" style="55" customWidth="1"/>
    <col min="6" max="6" width="24.54296875" style="55" customWidth="1"/>
    <col min="7" max="7" width="8.90625" style="55" customWidth="1"/>
    <col min="8" max="8" width="22.1796875" style="55" customWidth="1"/>
    <col min="9" max="9" width="10.6328125" style="55" customWidth="1"/>
    <col min="10" max="10" width="22.453125" style="55" customWidth="1"/>
    <col min="11" max="11" width="10.7265625" style="55" customWidth="1"/>
    <col min="12" max="12" width="8.7265625" style="55"/>
    <col min="13" max="13" width="4.6328125" style="55" customWidth="1"/>
    <col min="14" max="14" width="20.54296875" style="55" customWidth="1"/>
    <col min="15" max="15" width="5.26953125" style="55" customWidth="1"/>
    <col min="16" max="17" width="11.81640625" style="55" bestFit="1" customWidth="1"/>
    <col min="18" max="18" width="18.453125" style="55" customWidth="1"/>
    <col min="19" max="19" width="7.54296875" style="55" customWidth="1"/>
    <col min="20" max="20" width="13.7265625" style="55" customWidth="1"/>
    <col min="21" max="21" width="35.453125" style="55" customWidth="1"/>
    <col min="22" max="22" width="23.453125" style="53" bestFit="1" customWidth="1"/>
    <col min="23" max="23" width="28" style="53" bestFit="1" customWidth="1"/>
    <col min="24" max="24" width="31.1796875" style="53" bestFit="1" customWidth="1"/>
    <col min="25" max="25" width="19.26953125" style="53" customWidth="1"/>
    <col min="26" max="16384" width="8.7265625" style="55"/>
  </cols>
  <sheetData>
    <row r="1" spans="1:25" ht="32.5" x14ac:dyDescent="0.35">
      <c r="A1" s="57" t="s">
        <v>224</v>
      </c>
    </row>
    <row r="2" spans="1:25" x14ac:dyDescent="0.35">
      <c r="A2" s="58"/>
      <c r="J2" s="58"/>
    </row>
    <row r="3" spans="1:25" ht="25" x14ac:dyDescent="0.35">
      <c r="A3" s="59" t="s">
        <v>213</v>
      </c>
      <c r="J3" s="58"/>
    </row>
    <row r="4" spans="1:25" x14ac:dyDescent="0.35">
      <c r="A4" s="60" t="s">
        <v>108</v>
      </c>
      <c r="C4" s="61" t="s">
        <v>214</v>
      </c>
      <c r="H4" s="75" t="s">
        <v>100</v>
      </c>
      <c r="I4" s="58" t="s">
        <v>3</v>
      </c>
    </row>
    <row r="5" spans="1:25" x14ac:dyDescent="0.35">
      <c r="A5" s="60" t="s">
        <v>221</v>
      </c>
      <c r="C5" s="61" t="s">
        <v>222</v>
      </c>
      <c r="H5" s="75" t="s">
        <v>110</v>
      </c>
      <c r="I5" s="58" t="s">
        <v>55</v>
      </c>
    </row>
    <row r="6" spans="1:25" x14ac:dyDescent="0.35">
      <c r="A6" s="60" t="s">
        <v>231</v>
      </c>
      <c r="C6" s="61" t="s">
        <v>225</v>
      </c>
      <c r="H6" s="75" t="s">
        <v>237</v>
      </c>
      <c r="I6" s="61" t="s">
        <v>215</v>
      </c>
    </row>
    <row r="7" spans="1:25" x14ac:dyDescent="0.35">
      <c r="A7" s="60" t="s">
        <v>232</v>
      </c>
      <c r="C7" s="61" t="s">
        <v>226</v>
      </c>
      <c r="H7" s="75" t="s">
        <v>238</v>
      </c>
      <c r="I7" s="61" t="s">
        <v>216</v>
      </c>
    </row>
    <row r="8" spans="1:25" x14ac:dyDescent="0.35">
      <c r="A8" s="60" t="s">
        <v>233</v>
      </c>
      <c r="C8" s="61" t="s">
        <v>227</v>
      </c>
      <c r="H8" s="75" t="s">
        <v>239</v>
      </c>
      <c r="I8" s="61" t="s">
        <v>217</v>
      </c>
    </row>
    <row r="9" spans="1:25" x14ac:dyDescent="0.35">
      <c r="A9" s="58"/>
      <c r="C9" s="61"/>
    </row>
    <row r="10" spans="1:25" x14ac:dyDescent="0.35">
      <c r="A10" s="60" t="s">
        <v>234</v>
      </c>
      <c r="C10" s="61" t="s">
        <v>228</v>
      </c>
      <c r="H10" s="75" t="s">
        <v>112</v>
      </c>
      <c r="I10" s="61" t="s">
        <v>218</v>
      </c>
    </row>
    <row r="11" spans="1:25" x14ac:dyDescent="0.35">
      <c r="A11" s="60" t="s">
        <v>235</v>
      </c>
      <c r="C11" s="61" t="s">
        <v>229</v>
      </c>
      <c r="H11" s="75" t="s">
        <v>240</v>
      </c>
      <c r="I11" s="61" t="s">
        <v>219</v>
      </c>
    </row>
    <row r="12" spans="1:25" x14ac:dyDescent="0.35">
      <c r="A12" s="60" t="s">
        <v>236</v>
      </c>
      <c r="C12" s="61" t="s">
        <v>230</v>
      </c>
      <c r="H12" s="75" t="s">
        <v>241</v>
      </c>
      <c r="I12" s="61" t="s">
        <v>220</v>
      </c>
    </row>
    <row r="13" spans="1:25" x14ac:dyDescent="0.35">
      <c r="A13" s="60"/>
      <c r="B13" s="61"/>
      <c r="H13" s="60"/>
      <c r="I13" s="61"/>
    </row>
    <row r="14" spans="1:25" x14ac:dyDescent="0.35">
      <c r="A14" s="58"/>
      <c r="P14" s="55" t="s">
        <v>212</v>
      </c>
      <c r="Q14" s="55" t="s">
        <v>212</v>
      </c>
      <c r="R14" s="55" t="s">
        <v>212</v>
      </c>
    </row>
    <row r="15" spans="1:25" s="62" customFormat="1" ht="28" x14ac:dyDescent="0.35">
      <c r="A15" s="62" t="s">
        <v>223</v>
      </c>
      <c r="D15" s="73" t="s">
        <v>101</v>
      </c>
      <c r="G15" s="74" t="s">
        <v>103</v>
      </c>
      <c r="I15" s="74" t="s">
        <v>104</v>
      </c>
      <c r="K15" s="73" t="s">
        <v>102</v>
      </c>
      <c r="N15" s="62" t="s">
        <v>105</v>
      </c>
      <c r="P15" s="75" t="s">
        <v>121</v>
      </c>
      <c r="Q15" s="75" t="s">
        <v>122</v>
      </c>
      <c r="R15" s="62" t="s">
        <v>243</v>
      </c>
      <c r="T15" s="74" t="s">
        <v>242</v>
      </c>
      <c r="U15" s="74" t="s">
        <v>206</v>
      </c>
      <c r="V15" s="76" t="s">
        <v>134</v>
      </c>
      <c r="W15" s="76" t="s">
        <v>135</v>
      </c>
      <c r="X15" s="76" t="s">
        <v>136</v>
      </c>
      <c r="Y15" s="76" t="s">
        <v>137</v>
      </c>
    </row>
    <row r="16" spans="1:25" x14ac:dyDescent="0.35">
      <c r="A16" s="63">
        <f t="shared" ref="A16:A47" si="0">ROW()-ROW($A$15)</f>
        <v>1</v>
      </c>
      <c r="C16" s="55" t="s">
        <v>109</v>
      </c>
      <c r="N16" s="55">
        <v>0</v>
      </c>
      <c r="P16" s="64">
        <v>43800</v>
      </c>
      <c r="Q16" s="64">
        <v>43800</v>
      </c>
      <c r="R16" s="55">
        <v>0</v>
      </c>
      <c r="T16" s="54">
        <v>1</v>
      </c>
      <c r="U16" s="55">
        <v>0</v>
      </c>
      <c r="V16" s="53" t="s">
        <v>139</v>
      </c>
      <c r="W16" s="53" t="s">
        <v>138</v>
      </c>
      <c r="X16" s="53" t="s">
        <v>138</v>
      </c>
      <c r="Y16" s="53" t="s">
        <v>138</v>
      </c>
    </row>
    <row r="17" spans="1:25" x14ac:dyDescent="0.35">
      <c r="A17" s="63">
        <f t="shared" si="0"/>
        <v>2</v>
      </c>
      <c r="C17" s="55" t="s">
        <v>100</v>
      </c>
      <c r="D17" s="55" t="s">
        <v>110</v>
      </c>
      <c r="N17" s="55">
        <v>0</v>
      </c>
      <c r="P17" s="64">
        <v>43800</v>
      </c>
      <c r="Q17" s="64">
        <v>43831</v>
      </c>
      <c r="R17" s="55">
        <v>0</v>
      </c>
      <c r="T17" s="54">
        <v>2</v>
      </c>
      <c r="U17" s="55">
        <v>0</v>
      </c>
      <c r="V17" s="53" t="s">
        <v>140</v>
      </c>
      <c r="W17" s="53" t="s">
        <v>138</v>
      </c>
      <c r="X17" s="53" t="s">
        <v>138</v>
      </c>
      <c r="Y17" s="53" t="s">
        <v>138</v>
      </c>
    </row>
    <row r="18" spans="1:25" ht="42" x14ac:dyDescent="0.35">
      <c r="A18" s="63">
        <f t="shared" si="0"/>
        <v>3</v>
      </c>
      <c r="C18" s="55" t="s">
        <v>100</v>
      </c>
      <c r="E18" s="53" t="s">
        <v>198</v>
      </c>
      <c r="F18" s="53"/>
      <c r="N18" s="55" t="s">
        <v>111</v>
      </c>
      <c r="P18" s="64">
        <v>43800</v>
      </c>
      <c r="Q18" s="64">
        <v>43875</v>
      </c>
      <c r="R18" s="55">
        <v>1</v>
      </c>
      <c r="T18" s="56">
        <v>8</v>
      </c>
      <c r="U18" s="53" t="s">
        <v>165</v>
      </c>
      <c r="V18" s="53" t="s">
        <v>150</v>
      </c>
      <c r="W18" s="53" t="s">
        <v>148</v>
      </c>
      <c r="X18" s="53" t="s">
        <v>151</v>
      </c>
      <c r="Y18" s="53" t="s">
        <v>138</v>
      </c>
    </row>
    <row r="19" spans="1:25" ht="42" x14ac:dyDescent="0.35">
      <c r="A19" s="63">
        <f t="shared" si="0"/>
        <v>4</v>
      </c>
      <c r="C19" s="55" t="s">
        <v>100</v>
      </c>
      <c r="E19" s="53" t="s">
        <v>199</v>
      </c>
      <c r="F19" s="53"/>
      <c r="N19" s="55" t="s">
        <v>112</v>
      </c>
      <c r="P19" s="64">
        <v>43800</v>
      </c>
      <c r="Q19" s="64">
        <v>43877</v>
      </c>
      <c r="R19" s="55">
        <v>2</v>
      </c>
      <c r="T19" s="56">
        <v>7</v>
      </c>
      <c r="U19" s="53" t="s">
        <v>164</v>
      </c>
      <c r="V19" s="53" t="s">
        <v>147</v>
      </c>
      <c r="W19" s="53" t="s">
        <v>148</v>
      </c>
      <c r="X19" s="53" t="s">
        <v>149</v>
      </c>
      <c r="Y19" s="53" t="s">
        <v>138</v>
      </c>
    </row>
    <row r="20" spans="1:25" ht="28" x14ac:dyDescent="0.35">
      <c r="A20" s="63">
        <f t="shared" si="0"/>
        <v>5</v>
      </c>
      <c r="C20" s="55" t="s">
        <v>100</v>
      </c>
      <c r="G20" s="55" t="s">
        <v>110</v>
      </c>
      <c r="N20" s="55" t="s">
        <v>113</v>
      </c>
      <c r="P20" s="64">
        <v>43800</v>
      </c>
      <c r="Q20" s="64">
        <v>43983</v>
      </c>
      <c r="R20" s="55">
        <v>5</v>
      </c>
      <c r="T20" s="56">
        <v>10</v>
      </c>
      <c r="U20" s="53" t="s">
        <v>160</v>
      </c>
      <c r="V20" s="53" t="s">
        <v>150</v>
      </c>
      <c r="W20" s="53" t="s">
        <v>153</v>
      </c>
      <c r="X20" s="53" t="s">
        <v>205</v>
      </c>
      <c r="Y20" s="53" t="s">
        <v>138</v>
      </c>
    </row>
    <row r="21" spans="1:25" ht="42" x14ac:dyDescent="0.35">
      <c r="A21" s="63">
        <f t="shared" si="0"/>
        <v>6</v>
      </c>
      <c r="C21" s="55" t="s">
        <v>100</v>
      </c>
      <c r="H21" s="53" t="s">
        <v>152</v>
      </c>
      <c r="N21" s="55" t="s">
        <v>113</v>
      </c>
      <c r="P21" s="64">
        <v>43800</v>
      </c>
      <c r="Q21" s="64">
        <v>43996</v>
      </c>
      <c r="R21" s="55">
        <v>5</v>
      </c>
      <c r="T21" s="56">
        <v>10</v>
      </c>
      <c r="U21" s="53" t="s">
        <v>160</v>
      </c>
      <c r="V21" s="53" t="s">
        <v>150</v>
      </c>
      <c r="W21" s="53" t="s">
        <v>153</v>
      </c>
      <c r="X21" s="53" t="s">
        <v>205</v>
      </c>
      <c r="Y21" s="53" t="s">
        <v>138</v>
      </c>
    </row>
    <row r="22" spans="1:25" ht="42" x14ac:dyDescent="0.35">
      <c r="A22" s="63">
        <f t="shared" si="0"/>
        <v>7</v>
      </c>
      <c r="C22" s="55" t="s">
        <v>100</v>
      </c>
      <c r="H22" s="53" t="s">
        <v>116</v>
      </c>
      <c r="N22" s="55" t="s">
        <v>108</v>
      </c>
      <c r="P22" s="64">
        <v>43800</v>
      </c>
      <c r="Q22" s="64">
        <v>43998</v>
      </c>
      <c r="R22" s="55">
        <v>6</v>
      </c>
      <c r="T22" s="56">
        <v>9</v>
      </c>
      <c r="U22" s="53" t="s">
        <v>17</v>
      </c>
      <c r="V22" s="53" t="s">
        <v>150</v>
      </c>
      <c r="W22" s="53" t="s">
        <v>171</v>
      </c>
      <c r="X22" s="53" t="s">
        <v>138</v>
      </c>
      <c r="Y22" s="53" t="s">
        <v>138</v>
      </c>
    </row>
    <row r="23" spans="1:25" ht="28" x14ac:dyDescent="0.35">
      <c r="A23" s="63">
        <f t="shared" si="0"/>
        <v>8</v>
      </c>
      <c r="C23" s="55" t="s">
        <v>100</v>
      </c>
      <c r="I23" s="55" t="s">
        <v>110</v>
      </c>
      <c r="N23" s="55" t="s">
        <v>108</v>
      </c>
      <c r="P23" s="64">
        <v>43800</v>
      </c>
      <c r="Q23" s="64">
        <v>44012</v>
      </c>
      <c r="R23" s="55">
        <v>6</v>
      </c>
      <c r="T23" s="56">
        <v>9</v>
      </c>
      <c r="U23" s="53" t="s">
        <v>17</v>
      </c>
      <c r="V23" s="53" t="s">
        <v>150</v>
      </c>
      <c r="W23" s="53" t="s">
        <v>171</v>
      </c>
      <c r="X23" s="53" t="s">
        <v>138</v>
      </c>
      <c r="Y23" s="53" t="s">
        <v>138</v>
      </c>
    </row>
    <row r="24" spans="1:25" ht="42" x14ac:dyDescent="0.35">
      <c r="A24" s="63">
        <f t="shared" si="0"/>
        <v>9</v>
      </c>
      <c r="C24" s="55" t="s">
        <v>100</v>
      </c>
      <c r="J24" s="53" t="s">
        <v>117</v>
      </c>
      <c r="N24" s="55" t="s">
        <v>108</v>
      </c>
      <c r="P24" s="64">
        <v>43800</v>
      </c>
      <c r="Q24" s="64">
        <v>44057</v>
      </c>
      <c r="R24" s="55">
        <v>6</v>
      </c>
      <c r="T24" s="56">
        <v>9</v>
      </c>
      <c r="U24" s="53" t="s">
        <v>17</v>
      </c>
      <c r="V24" s="53" t="s">
        <v>150</v>
      </c>
      <c r="W24" s="53" t="s">
        <v>171</v>
      </c>
      <c r="X24" s="53" t="s">
        <v>138</v>
      </c>
      <c r="Y24" s="53" t="s">
        <v>138</v>
      </c>
    </row>
    <row r="25" spans="1:25" ht="42" x14ac:dyDescent="0.35">
      <c r="A25" s="63">
        <f t="shared" si="0"/>
        <v>10</v>
      </c>
      <c r="C25" s="55" t="s">
        <v>100</v>
      </c>
      <c r="J25" s="53" t="s">
        <v>118</v>
      </c>
      <c r="N25" s="55" t="s">
        <v>108</v>
      </c>
      <c r="P25" s="64">
        <v>43800</v>
      </c>
      <c r="Q25" s="64">
        <v>44059</v>
      </c>
      <c r="R25" s="55">
        <v>6</v>
      </c>
      <c r="T25" s="56">
        <v>9</v>
      </c>
      <c r="U25" s="53" t="s">
        <v>17</v>
      </c>
      <c r="V25" s="53" t="s">
        <v>150</v>
      </c>
      <c r="W25" s="53" t="s">
        <v>171</v>
      </c>
      <c r="X25" s="53" t="s">
        <v>138</v>
      </c>
      <c r="Y25" s="53" t="s">
        <v>138</v>
      </c>
    </row>
    <row r="26" spans="1:25" ht="28" x14ac:dyDescent="0.35">
      <c r="A26" s="63">
        <f t="shared" si="0"/>
        <v>11</v>
      </c>
      <c r="C26" s="55" t="s">
        <v>100</v>
      </c>
      <c r="K26" s="55" t="s">
        <v>110</v>
      </c>
      <c r="N26" s="55" t="s">
        <v>108</v>
      </c>
      <c r="P26" s="64">
        <v>43800</v>
      </c>
      <c r="Q26" s="64">
        <v>44196</v>
      </c>
      <c r="R26" s="55">
        <v>6</v>
      </c>
      <c r="T26" s="56">
        <v>9</v>
      </c>
      <c r="U26" s="53" t="s">
        <v>17</v>
      </c>
      <c r="V26" s="53" t="s">
        <v>150</v>
      </c>
      <c r="W26" s="53" t="s">
        <v>171</v>
      </c>
      <c r="X26" s="53" t="s">
        <v>138</v>
      </c>
      <c r="Y26" s="53" t="s">
        <v>138</v>
      </c>
    </row>
    <row r="27" spans="1:25" ht="28" x14ac:dyDescent="0.35">
      <c r="A27" s="63">
        <f t="shared" si="0"/>
        <v>12</v>
      </c>
      <c r="C27" s="55" t="s">
        <v>100</v>
      </c>
      <c r="L27" s="55" t="s">
        <v>110</v>
      </c>
      <c r="N27" s="55" t="s">
        <v>108</v>
      </c>
      <c r="P27" s="64">
        <v>43800</v>
      </c>
      <c r="Q27" s="64">
        <v>44228</v>
      </c>
      <c r="R27" s="55">
        <v>6</v>
      </c>
      <c r="T27" s="56">
        <v>9</v>
      </c>
      <c r="U27" s="53" t="s">
        <v>17</v>
      </c>
      <c r="V27" s="53" t="s">
        <v>150</v>
      </c>
      <c r="W27" s="53" t="s">
        <v>171</v>
      </c>
      <c r="X27" s="53" t="s">
        <v>138</v>
      </c>
      <c r="Y27" s="53" t="s">
        <v>138</v>
      </c>
    </row>
    <row r="28" spans="1:25" x14ac:dyDescent="0.35">
      <c r="A28" s="65">
        <f t="shared" si="0"/>
        <v>13</v>
      </c>
      <c r="D28" s="55" t="s">
        <v>109</v>
      </c>
      <c r="N28" s="55">
        <v>0</v>
      </c>
      <c r="P28" s="64">
        <v>43831</v>
      </c>
      <c r="Q28" s="64">
        <v>43831</v>
      </c>
      <c r="R28" s="55">
        <v>0</v>
      </c>
      <c r="T28" s="54">
        <v>1</v>
      </c>
      <c r="U28" s="55">
        <v>0</v>
      </c>
      <c r="V28" s="53" t="s">
        <v>139</v>
      </c>
      <c r="W28" s="53" t="s">
        <v>138</v>
      </c>
      <c r="X28" s="53" t="s">
        <v>138</v>
      </c>
      <c r="Y28" s="53" t="s">
        <v>138</v>
      </c>
    </row>
    <row r="29" spans="1:25" ht="42" x14ac:dyDescent="0.35">
      <c r="A29" s="65">
        <f t="shared" si="0"/>
        <v>14</v>
      </c>
      <c r="D29" s="55" t="s">
        <v>100</v>
      </c>
      <c r="E29" s="53" t="s">
        <v>114</v>
      </c>
      <c r="F29" s="53"/>
      <c r="N29" s="55" t="s">
        <v>111</v>
      </c>
      <c r="P29" s="64">
        <v>43831</v>
      </c>
      <c r="Q29" s="64">
        <v>43875</v>
      </c>
      <c r="R29" s="55">
        <v>1</v>
      </c>
      <c r="T29" s="56">
        <v>8</v>
      </c>
      <c r="U29" s="53" t="s">
        <v>165</v>
      </c>
      <c r="V29" s="53" t="s">
        <v>150</v>
      </c>
      <c r="W29" s="53" t="s">
        <v>148</v>
      </c>
      <c r="X29" s="53" t="s">
        <v>151</v>
      </c>
      <c r="Y29" s="53" t="s">
        <v>138</v>
      </c>
    </row>
    <row r="30" spans="1:25" ht="42" x14ac:dyDescent="0.35">
      <c r="A30" s="65">
        <f t="shared" si="0"/>
        <v>15</v>
      </c>
      <c r="D30" s="55" t="s">
        <v>100</v>
      </c>
      <c r="E30" s="53" t="s">
        <v>115</v>
      </c>
      <c r="F30" s="53"/>
      <c r="N30" s="55" t="s">
        <v>112</v>
      </c>
      <c r="P30" s="64">
        <v>43831</v>
      </c>
      <c r="Q30" s="64">
        <v>43877</v>
      </c>
      <c r="R30" s="55">
        <v>2</v>
      </c>
      <c r="T30" s="56">
        <v>7</v>
      </c>
      <c r="U30" s="53" t="s">
        <v>164</v>
      </c>
      <c r="V30" s="53" t="s">
        <v>147</v>
      </c>
      <c r="W30" s="53" t="s">
        <v>148</v>
      </c>
      <c r="X30" s="53" t="s">
        <v>149</v>
      </c>
      <c r="Y30" s="53" t="s">
        <v>138</v>
      </c>
    </row>
    <row r="31" spans="1:25" ht="28" x14ac:dyDescent="0.35">
      <c r="A31" s="65">
        <f t="shared" si="0"/>
        <v>16</v>
      </c>
      <c r="D31" s="55" t="s">
        <v>100</v>
      </c>
      <c r="G31" s="55" t="s">
        <v>110</v>
      </c>
      <c r="N31" s="55" t="s">
        <v>113</v>
      </c>
      <c r="P31" s="64">
        <v>43831</v>
      </c>
      <c r="Q31" s="64">
        <v>43983</v>
      </c>
      <c r="R31" s="55">
        <v>5</v>
      </c>
      <c r="T31" s="56">
        <v>10</v>
      </c>
      <c r="U31" s="53" t="s">
        <v>160</v>
      </c>
      <c r="V31" s="53" t="s">
        <v>150</v>
      </c>
      <c r="W31" s="53" t="s">
        <v>153</v>
      </c>
      <c r="X31" s="53" t="s">
        <v>205</v>
      </c>
      <c r="Y31" s="53" t="s">
        <v>138</v>
      </c>
    </row>
    <row r="32" spans="1:25" ht="42" x14ac:dyDescent="0.35">
      <c r="A32" s="65">
        <f t="shared" si="0"/>
        <v>17</v>
      </c>
      <c r="D32" s="55" t="s">
        <v>100</v>
      </c>
      <c r="H32" s="53" t="s">
        <v>152</v>
      </c>
      <c r="N32" s="55" t="s">
        <v>113</v>
      </c>
      <c r="P32" s="64">
        <v>43831</v>
      </c>
      <c r="Q32" s="64">
        <v>43996</v>
      </c>
      <c r="R32" s="55">
        <v>5</v>
      </c>
      <c r="T32" s="56">
        <v>10</v>
      </c>
      <c r="U32" s="53" t="s">
        <v>160</v>
      </c>
      <c r="V32" s="53" t="s">
        <v>150</v>
      </c>
      <c r="W32" s="53" t="s">
        <v>153</v>
      </c>
      <c r="X32" s="53" t="s">
        <v>205</v>
      </c>
      <c r="Y32" s="53" t="s">
        <v>138</v>
      </c>
    </row>
    <row r="33" spans="1:25" ht="42" x14ac:dyDescent="0.35">
      <c r="A33" s="65">
        <f t="shared" si="0"/>
        <v>18</v>
      </c>
      <c r="D33" s="55" t="s">
        <v>100</v>
      </c>
      <c r="H33" s="53" t="s">
        <v>116</v>
      </c>
      <c r="N33" s="55" t="s">
        <v>108</v>
      </c>
      <c r="P33" s="64">
        <v>43831</v>
      </c>
      <c r="Q33" s="64">
        <v>43998</v>
      </c>
      <c r="R33" s="55">
        <v>6</v>
      </c>
      <c r="T33" s="56">
        <v>9</v>
      </c>
      <c r="U33" s="53" t="s">
        <v>17</v>
      </c>
      <c r="V33" s="53" t="s">
        <v>150</v>
      </c>
      <c r="W33" s="53" t="s">
        <v>171</v>
      </c>
      <c r="X33" s="53" t="s">
        <v>138</v>
      </c>
      <c r="Y33" s="53" t="s">
        <v>138</v>
      </c>
    </row>
    <row r="34" spans="1:25" ht="28" x14ac:dyDescent="0.35">
      <c r="A34" s="65">
        <f t="shared" si="0"/>
        <v>19</v>
      </c>
      <c r="D34" s="55" t="s">
        <v>100</v>
      </c>
      <c r="I34" s="55" t="s">
        <v>110</v>
      </c>
      <c r="N34" s="55" t="s">
        <v>108</v>
      </c>
      <c r="P34" s="64">
        <v>43831</v>
      </c>
      <c r="Q34" s="64">
        <v>44012</v>
      </c>
      <c r="R34" s="55">
        <v>6</v>
      </c>
      <c r="T34" s="56">
        <v>9</v>
      </c>
      <c r="U34" s="53" t="s">
        <v>17</v>
      </c>
      <c r="V34" s="53" t="s">
        <v>150</v>
      </c>
      <c r="W34" s="53" t="s">
        <v>171</v>
      </c>
      <c r="X34" s="53" t="s">
        <v>138</v>
      </c>
      <c r="Y34" s="53" t="s">
        <v>138</v>
      </c>
    </row>
    <row r="35" spans="1:25" ht="42" x14ac:dyDescent="0.35">
      <c r="A35" s="65">
        <f t="shared" si="0"/>
        <v>20</v>
      </c>
      <c r="D35" s="55" t="s">
        <v>100</v>
      </c>
      <c r="J35" s="53" t="s">
        <v>117</v>
      </c>
      <c r="N35" s="55" t="s">
        <v>108</v>
      </c>
      <c r="P35" s="64">
        <v>43831</v>
      </c>
      <c r="Q35" s="64">
        <v>44057</v>
      </c>
      <c r="R35" s="55">
        <v>6</v>
      </c>
      <c r="T35" s="56">
        <v>9</v>
      </c>
      <c r="U35" s="53" t="s">
        <v>17</v>
      </c>
      <c r="V35" s="53" t="s">
        <v>150</v>
      </c>
      <c r="W35" s="53" t="s">
        <v>171</v>
      </c>
      <c r="X35" s="53" t="s">
        <v>138</v>
      </c>
      <c r="Y35" s="53" t="s">
        <v>138</v>
      </c>
    </row>
    <row r="36" spans="1:25" ht="42" x14ac:dyDescent="0.35">
      <c r="A36" s="65">
        <f t="shared" si="0"/>
        <v>21</v>
      </c>
      <c r="D36" s="55" t="s">
        <v>100</v>
      </c>
      <c r="J36" s="53" t="s">
        <v>118</v>
      </c>
      <c r="N36" s="55" t="s">
        <v>108</v>
      </c>
      <c r="P36" s="64">
        <v>43831</v>
      </c>
      <c r="Q36" s="64">
        <v>44059</v>
      </c>
      <c r="R36" s="55">
        <v>6</v>
      </c>
      <c r="T36" s="56">
        <v>9</v>
      </c>
      <c r="U36" s="53" t="s">
        <v>17</v>
      </c>
      <c r="V36" s="53" t="s">
        <v>150</v>
      </c>
      <c r="W36" s="53" t="s">
        <v>171</v>
      </c>
      <c r="X36" s="53" t="s">
        <v>138</v>
      </c>
      <c r="Y36" s="53" t="s">
        <v>138</v>
      </c>
    </row>
    <row r="37" spans="1:25" ht="28" x14ac:dyDescent="0.35">
      <c r="A37" s="65">
        <f t="shared" si="0"/>
        <v>22</v>
      </c>
      <c r="D37" s="55" t="s">
        <v>100</v>
      </c>
      <c r="K37" s="55" t="s">
        <v>110</v>
      </c>
      <c r="N37" s="55" t="s">
        <v>108</v>
      </c>
      <c r="P37" s="64">
        <v>43831</v>
      </c>
      <c r="Q37" s="64">
        <v>44196</v>
      </c>
      <c r="R37" s="55">
        <v>6</v>
      </c>
      <c r="T37" s="56">
        <v>9</v>
      </c>
      <c r="U37" s="53" t="s">
        <v>17</v>
      </c>
      <c r="V37" s="53" t="s">
        <v>150</v>
      </c>
      <c r="W37" s="53" t="s">
        <v>171</v>
      </c>
      <c r="X37" s="53" t="s">
        <v>138</v>
      </c>
      <c r="Y37" s="53" t="s">
        <v>138</v>
      </c>
    </row>
    <row r="38" spans="1:25" ht="28" x14ac:dyDescent="0.35">
      <c r="A38" s="65">
        <f t="shared" si="0"/>
        <v>23</v>
      </c>
      <c r="D38" s="55" t="s">
        <v>100</v>
      </c>
      <c r="L38" s="55" t="s">
        <v>110</v>
      </c>
      <c r="N38" s="55" t="s">
        <v>108</v>
      </c>
      <c r="P38" s="64">
        <v>43831</v>
      </c>
      <c r="Q38" s="64">
        <v>44228</v>
      </c>
      <c r="R38" s="55">
        <v>6</v>
      </c>
      <c r="T38" s="56">
        <v>9</v>
      </c>
      <c r="U38" s="53" t="s">
        <v>17</v>
      </c>
      <c r="V38" s="53" t="s">
        <v>150</v>
      </c>
      <c r="W38" s="53" t="s">
        <v>171</v>
      </c>
      <c r="X38" s="53" t="s">
        <v>138</v>
      </c>
      <c r="Y38" s="53" t="s">
        <v>138</v>
      </c>
    </row>
    <row r="39" spans="1:25" ht="42" x14ac:dyDescent="0.35">
      <c r="A39" s="66">
        <f t="shared" si="0"/>
        <v>24</v>
      </c>
      <c r="E39" s="53" t="s">
        <v>119</v>
      </c>
      <c r="F39" s="53"/>
      <c r="N39" s="55">
        <v>0</v>
      </c>
      <c r="P39" s="64">
        <v>43874</v>
      </c>
      <c r="Q39" s="64">
        <v>43874</v>
      </c>
      <c r="R39" s="55">
        <v>0</v>
      </c>
      <c r="T39" s="54">
        <v>1</v>
      </c>
      <c r="U39" s="55">
        <v>0</v>
      </c>
      <c r="V39" s="53" t="s">
        <v>139</v>
      </c>
      <c r="W39" s="53" t="s">
        <v>138</v>
      </c>
      <c r="X39" s="53" t="s">
        <v>138</v>
      </c>
      <c r="Y39" s="53" t="s">
        <v>138</v>
      </c>
    </row>
    <row r="40" spans="1:25" ht="42" x14ac:dyDescent="0.35">
      <c r="A40" s="66">
        <f t="shared" si="0"/>
        <v>25</v>
      </c>
      <c r="E40" s="53" t="s">
        <v>120</v>
      </c>
      <c r="F40" s="53" t="s">
        <v>198</v>
      </c>
      <c r="N40" s="55" t="s">
        <v>209</v>
      </c>
      <c r="P40" s="64">
        <v>43874</v>
      </c>
      <c r="Q40" s="64">
        <v>43965</v>
      </c>
      <c r="R40" s="55">
        <v>3</v>
      </c>
      <c r="T40" s="55">
        <v>15</v>
      </c>
      <c r="U40" s="55" t="s">
        <v>202</v>
      </c>
      <c r="V40" s="53" t="s">
        <v>154</v>
      </c>
      <c r="W40" s="53" t="s">
        <v>155</v>
      </c>
      <c r="X40" s="53" t="s">
        <v>151</v>
      </c>
      <c r="Y40" s="53" t="s">
        <v>201</v>
      </c>
    </row>
    <row r="41" spans="1:25" ht="42" x14ac:dyDescent="0.35">
      <c r="A41" s="66">
        <f t="shared" si="0"/>
        <v>26</v>
      </c>
      <c r="E41" s="53" t="s">
        <v>120</v>
      </c>
      <c r="F41" s="53" t="s">
        <v>200</v>
      </c>
      <c r="N41" s="55" t="s">
        <v>210</v>
      </c>
      <c r="P41" s="64">
        <v>43874</v>
      </c>
      <c r="Q41" s="64">
        <v>43967</v>
      </c>
      <c r="R41" s="55">
        <v>4</v>
      </c>
      <c r="T41" s="55">
        <v>16</v>
      </c>
      <c r="U41" s="55" t="s">
        <v>203</v>
      </c>
      <c r="V41" s="53" t="s">
        <v>154</v>
      </c>
      <c r="W41" s="53" t="s">
        <v>155</v>
      </c>
      <c r="X41" s="53" t="s">
        <v>149</v>
      </c>
      <c r="Y41" s="53" t="s">
        <v>201</v>
      </c>
    </row>
    <row r="42" spans="1:25" ht="42" x14ac:dyDescent="0.35">
      <c r="A42" s="66">
        <f t="shared" si="0"/>
        <v>27</v>
      </c>
      <c r="E42" s="53" t="s">
        <v>120</v>
      </c>
      <c r="F42" s="53"/>
      <c r="G42" s="55" t="s">
        <v>110</v>
      </c>
      <c r="N42" s="55" t="s">
        <v>107</v>
      </c>
      <c r="P42" s="64">
        <v>43874</v>
      </c>
      <c r="Q42" s="64">
        <v>43983</v>
      </c>
      <c r="R42" s="55">
        <f>6-2</f>
        <v>4</v>
      </c>
      <c r="T42" s="56">
        <v>11</v>
      </c>
      <c r="U42" s="53" t="s">
        <v>161</v>
      </c>
      <c r="V42" s="53" t="s">
        <v>154</v>
      </c>
      <c r="W42" s="53" t="s">
        <v>155</v>
      </c>
      <c r="X42" s="53" t="s">
        <v>156</v>
      </c>
      <c r="Y42" s="53" t="s">
        <v>157</v>
      </c>
    </row>
    <row r="43" spans="1:25" ht="42" x14ac:dyDescent="0.35">
      <c r="A43" s="66">
        <f t="shared" si="0"/>
        <v>28</v>
      </c>
      <c r="E43" s="53" t="s">
        <v>120</v>
      </c>
      <c r="F43" s="53"/>
      <c r="H43" s="53" t="s">
        <v>152</v>
      </c>
      <c r="N43" s="55" t="s">
        <v>107</v>
      </c>
      <c r="P43" s="64">
        <v>43874</v>
      </c>
      <c r="Q43" s="64">
        <v>43995</v>
      </c>
      <c r="R43" s="55">
        <f>6-2</f>
        <v>4</v>
      </c>
      <c r="T43" s="56">
        <v>11</v>
      </c>
      <c r="U43" s="53" t="s">
        <v>161</v>
      </c>
      <c r="V43" s="53" t="s">
        <v>154</v>
      </c>
      <c r="W43" s="53" t="s">
        <v>155</v>
      </c>
      <c r="X43" s="53" t="s">
        <v>156</v>
      </c>
      <c r="Y43" s="53" t="s">
        <v>157</v>
      </c>
    </row>
    <row r="44" spans="1:25" ht="42" x14ac:dyDescent="0.35">
      <c r="A44" s="66">
        <f t="shared" si="0"/>
        <v>29</v>
      </c>
      <c r="E44" s="53" t="s">
        <v>120</v>
      </c>
      <c r="F44" s="53"/>
      <c r="H44" s="53" t="s">
        <v>116</v>
      </c>
      <c r="N44" s="55" t="s">
        <v>106</v>
      </c>
      <c r="P44" s="64">
        <v>43874</v>
      </c>
      <c r="Q44" s="64">
        <v>43998</v>
      </c>
      <c r="R44" s="55">
        <f>6-2+1</f>
        <v>5</v>
      </c>
      <c r="T44" s="56">
        <v>13</v>
      </c>
      <c r="U44" s="53" t="s">
        <v>162</v>
      </c>
      <c r="V44" s="53" t="s">
        <v>154</v>
      </c>
      <c r="W44" s="53" t="s">
        <v>155</v>
      </c>
      <c r="X44" s="53" t="s">
        <v>171</v>
      </c>
      <c r="Y44" s="53" t="s">
        <v>138</v>
      </c>
    </row>
    <row r="45" spans="1:25" ht="42" x14ac:dyDescent="0.35">
      <c r="A45" s="66">
        <f t="shared" si="0"/>
        <v>30</v>
      </c>
      <c r="E45" s="53" t="s">
        <v>120</v>
      </c>
      <c r="F45" s="53"/>
      <c r="I45" s="55" t="s">
        <v>110</v>
      </c>
      <c r="N45" s="55" t="s">
        <v>106</v>
      </c>
      <c r="P45" s="64">
        <v>43874</v>
      </c>
      <c r="Q45" s="64">
        <v>44012</v>
      </c>
      <c r="R45" s="55">
        <f>6-2+1</f>
        <v>5</v>
      </c>
      <c r="T45" s="56">
        <v>13</v>
      </c>
      <c r="U45" s="53" t="s">
        <v>162</v>
      </c>
      <c r="V45" s="53" t="s">
        <v>154</v>
      </c>
      <c r="W45" s="53" t="s">
        <v>155</v>
      </c>
      <c r="X45" s="53" t="s">
        <v>171</v>
      </c>
      <c r="Y45" s="53" t="s">
        <v>138</v>
      </c>
    </row>
    <row r="46" spans="1:25" ht="42" x14ac:dyDescent="0.35">
      <c r="A46" s="66">
        <f t="shared" si="0"/>
        <v>31</v>
      </c>
      <c r="E46" s="53" t="s">
        <v>120</v>
      </c>
      <c r="F46" s="53"/>
      <c r="J46" s="53" t="s">
        <v>117</v>
      </c>
      <c r="N46" s="55" t="s">
        <v>106</v>
      </c>
      <c r="P46" s="64">
        <v>43874</v>
      </c>
      <c r="Q46" s="64">
        <v>44057</v>
      </c>
      <c r="R46" s="55">
        <v>5</v>
      </c>
      <c r="T46" s="56">
        <v>13</v>
      </c>
      <c r="U46" s="53" t="s">
        <v>162</v>
      </c>
      <c r="V46" s="53" t="s">
        <v>154</v>
      </c>
      <c r="W46" s="53" t="s">
        <v>155</v>
      </c>
      <c r="X46" s="53" t="s">
        <v>171</v>
      </c>
      <c r="Y46" s="53" t="s">
        <v>138</v>
      </c>
    </row>
    <row r="47" spans="1:25" ht="42" x14ac:dyDescent="0.35">
      <c r="A47" s="66">
        <f t="shared" si="0"/>
        <v>32</v>
      </c>
      <c r="E47" s="53" t="s">
        <v>120</v>
      </c>
      <c r="F47" s="53"/>
      <c r="J47" s="53" t="s">
        <v>118</v>
      </c>
      <c r="N47" s="55" t="s">
        <v>106</v>
      </c>
      <c r="P47" s="64">
        <v>43874</v>
      </c>
      <c r="Q47" s="64">
        <v>44059</v>
      </c>
      <c r="R47" s="55">
        <v>5</v>
      </c>
      <c r="T47" s="56">
        <v>13</v>
      </c>
      <c r="U47" s="53" t="s">
        <v>162</v>
      </c>
      <c r="V47" s="53" t="s">
        <v>154</v>
      </c>
      <c r="W47" s="53" t="s">
        <v>155</v>
      </c>
      <c r="X47" s="53" t="s">
        <v>171</v>
      </c>
      <c r="Y47" s="53" t="s">
        <v>138</v>
      </c>
    </row>
    <row r="48" spans="1:25" ht="42" x14ac:dyDescent="0.35">
      <c r="A48" s="66">
        <f t="shared" ref="A48:A79" si="1">ROW()-ROW($A$15)</f>
        <v>33</v>
      </c>
      <c r="E48" s="53" t="s">
        <v>120</v>
      </c>
      <c r="F48" s="53"/>
      <c r="K48" s="55" t="s">
        <v>110</v>
      </c>
      <c r="N48" s="55" t="s">
        <v>106</v>
      </c>
      <c r="P48" s="64">
        <v>43874</v>
      </c>
      <c r="Q48" s="64">
        <v>44196</v>
      </c>
      <c r="R48" s="55">
        <v>5</v>
      </c>
      <c r="T48" s="56">
        <v>13</v>
      </c>
      <c r="U48" s="53" t="s">
        <v>162</v>
      </c>
      <c r="V48" s="53" t="s">
        <v>154</v>
      </c>
      <c r="W48" s="53" t="s">
        <v>155</v>
      </c>
      <c r="X48" s="53" t="s">
        <v>171</v>
      </c>
      <c r="Y48" s="53" t="s">
        <v>138</v>
      </c>
    </row>
    <row r="49" spans="1:25" ht="42" x14ac:dyDescent="0.35">
      <c r="A49" s="66">
        <f t="shared" si="1"/>
        <v>34</v>
      </c>
      <c r="E49" s="53" t="s">
        <v>120</v>
      </c>
      <c r="F49" s="53"/>
      <c r="L49" s="55" t="s">
        <v>110</v>
      </c>
      <c r="N49" s="55" t="s">
        <v>106</v>
      </c>
      <c r="P49" s="64">
        <v>43874</v>
      </c>
      <c r="Q49" s="64">
        <v>44228</v>
      </c>
      <c r="R49" s="55">
        <v>5</v>
      </c>
      <c r="T49" s="56">
        <v>13</v>
      </c>
      <c r="U49" s="53" t="s">
        <v>162</v>
      </c>
      <c r="V49" s="53" t="s">
        <v>154</v>
      </c>
      <c r="W49" s="53" t="s">
        <v>155</v>
      </c>
      <c r="X49" s="53" t="s">
        <v>171</v>
      </c>
      <c r="Y49" s="53" t="s">
        <v>138</v>
      </c>
    </row>
    <row r="50" spans="1:25" ht="42" x14ac:dyDescent="0.35">
      <c r="A50" s="63">
        <f t="shared" si="1"/>
        <v>35</v>
      </c>
      <c r="E50" s="53" t="s">
        <v>124</v>
      </c>
      <c r="F50" s="53"/>
      <c r="N50" s="55">
        <v>0</v>
      </c>
      <c r="P50" s="64">
        <v>43877</v>
      </c>
      <c r="Q50" s="64">
        <v>43877</v>
      </c>
      <c r="R50" s="55">
        <v>0</v>
      </c>
      <c r="T50" s="54">
        <v>1</v>
      </c>
      <c r="U50" s="55">
        <v>0</v>
      </c>
      <c r="V50" s="53" t="s">
        <v>139</v>
      </c>
      <c r="W50" s="53" t="s">
        <v>138</v>
      </c>
      <c r="X50" s="53" t="s">
        <v>138</v>
      </c>
      <c r="Y50" s="53" t="s">
        <v>138</v>
      </c>
    </row>
    <row r="51" spans="1:25" ht="42" x14ac:dyDescent="0.35">
      <c r="A51" s="63">
        <f t="shared" si="1"/>
        <v>36</v>
      </c>
      <c r="E51" s="53" t="s">
        <v>123</v>
      </c>
      <c r="F51" s="53" t="s">
        <v>198</v>
      </c>
      <c r="N51" s="55" t="s">
        <v>211</v>
      </c>
      <c r="P51" s="64">
        <v>43877</v>
      </c>
      <c r="Q51" s="64">
        <v>43965</v>
      </c>
      <c r="R51" s="55">
        <v>2</v>
      </c>
      <c r="T51" s="55">
        <v>17</v>
      </c>
      <c r="U51" s="55" t="s">
        <v>204</v>
      </c>
      <c r="V51" s="53" t="s">
        <v>154</v>
      </c>
      <c r="W51" s="53" t="s">
        <v>142</v>
      </c>
      <c r="X51" s="53" t="s">
        <v>151</v>
      </c>
      <c r="Y51" s="53" t="s">
        <v>201</v>
      </c>
    </row>
    <row r="52" spans="1:25" ht="42" x14ac:dyDescent="0.35">
      <c r="A52" s="63">
        <f t="shared" si="1"/>
        <v>37</v>
      </c>
      <c r="E52" s="53" t="s">
        <v>123</v>
      </c>
      <c r="F52" s="53" t="s">
        <v>200</v>
      </c>
      <c r="N52" s="55" t="s">
        <v>209</v>
      </c>
      <c r="P52" s="64">
        <v>43877</v>
      </c>
      <c r="Q52" s="64">
        <v>43967</v>
      </c>
      <c r="R52" s="55">
        <v>3</v>
      </c>
      <c r="T52" s="55">
        <v>18</v>
      </c>
      <c r="U52" s="55" t="s">
        <v>202</v>
      </c>
      <c r="V52" s="53" t="s">
        <v>154</v>
      </c>
      <c r="W52" s="53" t="s">
        <v>142</v>
      </c>
      <c r="X52" s="53" t="s">
        <v>149</v>
      </c>
      <c r="Y52" s="53" t="s">
        <v>201</v>
      </c>
    </row>
    <row r="53" spans="1:25" ht="42" x14ac:dyDescent="0.35">
      <c r="A53" s="63">
        <f t="shared" si="1"/>
        <v>38</v>
      </c>
      <c r="E53" s="53" t="s">
        <v>123</v>
      </c>
      <c r="F53" s="53"/>
      <c r="G53" s="55" t="s">
        <v>110</v>
      </c>
      <c r="N53" s="55" t="s">
        <v>125</v>
      </c>
      <c r="P53" s="64">
        <v>43877</v>
      </c>
      <c r="Q53" s="64">
        <v>43983</v>
      </c>
      <c r="R53" s="55">
        <f>6-2-1</f>
        <v>3</v>
      </c>
      <c r="T53" s="56">
        <v>14</v>
      </c>
      <c r="U53" s="53" t="s">
        <v>163</v>
      </c>
      <c r="V53" s="53" t="s">
        <v>154</v>
      </c>
      <c r="W53" s="53" t="s">
        <v>142</v>
      </c>
      <c r="X53" s="53" t="s">
        <v>156</v>
      </c>
      <c r="Y53" s="53" t="s">
        <v>172</v>
      </c>
    </row>
    <row r="54" spans="1:25" ht="42" x14ac:dyDescent="0.35">
      <c r="A54" s="63">
        <f t="shared" si="1"/>
        <v>39</v>
      </c>
      <c r="E54" s="53" t="s">
        <v>123</v>
      </c>
      <c r="F54" s="53"/>
      <c r="H54" s="53" t="s">
        <v>152</v>
      </c>
      <c r="N54" s="55" t="s">
        <v>125</v>
      </c>
      <c r="P54" s="64">
        <v>43877</v>
      </c>
      <c r="Q54" s="64">
        <v>43995</v>
      </c>
      <c r="R54" s="55">
        <f>6-2-1</f>
        <v>3</v>
      </c>
      <c r="T54" s="56">
        <v>14</v>
      </c>
      <c r="U54" s="53" t="s">
        <v>163</v>
      </c>
      <c r="V54" s="53" t="s">
        <v>154</v>
      </c>
      <c r="W54" s="53" t="s">
        <v>142</v>
      </c>
      <c r="X54" s="53" t="s">
        <v>156</v>
      </c>
      <c r="Y54" s="53" t="s">
        <v>172</v>
      </c>
    </row>
    <row r="55" spans="1:25" ht="42" x14ac:dyDescent="0.35">
      <c r="A55" s="63">
        <f t="shared" si="1"/>
        <v>40</v>
      </c>
      <c r="E55" s="53" t="s">
        <v>123</v>
      </c>
      <c r="F55" s="53"/>
      <c r="H55" s="53" t="s">
        <v>116</v>
      </c>
      <c r="N55" s="55" t="s">
        <v>107</v>
      </c>
      <c r="P55" s="64">
        <v>43877</v>
      </c>
      <c r="Q55" s="64">
        <v>43998</v>
      </c>
      <c r="R55" s="55">
        <f>6-2</f>
        <v>4</v>
      </c>
      <c r="T55" s="56">
        <v>12</v>
      </c>
      <c r="U55" s="53" t="s">
        <v>161</v>
      </c>
      <c r="V55" s="53" t="s">
        <v>154</v>
      </c>
      <c r="W55" s="53" t="s">
        <v>142</v>
      </c>
      <c r="X55" s="53" t="s">
        <v>171</v>
      </c>
      <c r="Y55" s="53" t="s">
        <v>138</v>
      </c>
    </row>
    <row r="56" spans="1:25" ht="42" x14ac:dyDescent="0.35">
      <c r="A56" s="63">
        <f t="shared" si="1"/>
        <v>41</v>
      </c>
      <c r="E56" s="53" t="s">
        <v>123</v>
      </c>
      <c r="F56" s="53"/>
      <c r="I56" s="55" t="s">
        <v>110</v>
      </c>
      <c r="N56" s="55" t="s">
        <v>107</v>
      </c>
      <c r="P56" s="64">
        <v>43877</v>
      </c>
      <c r="Q56" s="64">
        <v>44012</v>
      </c>
      <c r="R56" s="55">
        <f>6-2</f>
        <v>4</v>
      </c>
      <c r="T56" s="56">
        <v>12</v>
      </c>
      <c r="U56" s="53" t="s">
        <v>161</v>
      </c>
      <c r="V56" s="53" t="s">
        <v>154</v>
      </c>
      <c r="W56" s="53" t="s">
        <v>142</v>
      </c>
      <c r="X56" s="53" t="s">
        <v>171</v>
      </c>
      <c r="Y56" s="53" t="s">
        <v>138</v>
      </c>
    </row>
    <row r="57" spans="1:25" ht="42" x14ac:dyDescent="0.35">
      <c r="A57" s="63">
        <f t="shared" si="1"/>
        <v>42</v>
      </c>
      <c r="E57" s="53" t="s">
        <v>123</v>
      </c>
      <c r="F57" s="53"/>
      <c r="J57" s="53" t="s">
        <v>117</v>
      </c>
      <c r="N57" s="55" t="s">
        <v>107</v>
      </c>
      <c r="P57" s="64">
        <v>43877</v>
      </c>
      <c r="Q57" s="64">
        <v>44057</v>
      </c>
      <c r="R57" s="55">
        <f>6-2</f>
        <v>4</v>
      </c>
      <c r="T57" s="56">
        <v>12</v>
      </c>
      <c r="U57" s="53" t="s">
        <v>161</v>
      </c>
      <c r="V57" s="53" t="s">
        <v>154</v>
      </c>
      <c r="W57" s="53" t="s">
        <v>142</v>
      </c>
      <c r="X57" s="53" t="s">
        <v>171</v>
      </c>
      <c r="Y57" s="53" t="s">
        <v>138</v>
      </c>
    </row>
    <row r="58" spans="1:25" ht="42" x14ac:dyDescent="0.35">
      <c r="A58" s="63">
        <f t="shared" si="1"/>
        <v>43</v>
      </c>
      <c r="E58" s="53" t="s">
        <v>123</v>
      </c>
      <c r="F58" s="53"/>
      <c r="J58" s="53" t="s">
        <v>118</v>
      </c>
      <c r="N58" s="55" t="s">
        <v>107</v>
      </c>
      <c r="P58" s="64">
        <v>43877</v>
      </c>
      <c r="Q58" s="64">
        <v>44059</v>
      </c>
      <c r="R58" s="55">
        <f t="shared" ref="R58:R60" si="2">6-2</f>
        <v>4</v>
      </c>
      <c r="T58" s="56">
        <v>12</v>
      </c>
      <c r="U58" s="53" t="s">
        <v>161</v>
      </c>
      <c r="V58" s="53" t="s">
        <v>154</v>
      </c>
      <c r="W58" s="53" t="s">
        <v>142</v>
      </c>
      <c r="X58" s="53" t="s">
        <v>171</v>
      </c>
      <c r="Y58" s="53" t="s">
        <v>138</v>
      </c>
    </row>
    <row r="59" spans="1:25" ht="42" x14ac:dyDescent="0.35">
      <c r="A59" s="63">
        <f t="shared" si="1"/>
        <v>44</v>
      </c>
      <c r="E59" s="53" t="s">
        <v>123</v>
      </c>
      <c r="F59" s="53"/>
      <c r="K59" s="55" t="s">
        <v>110</v>
      </c>
      <c r="N59" s="55" t="s">
        <v>107</v>
      </c>
      <c r="P59" s="64">
        <v>43877</v>
      </c>
      <c r="Q59" s="64">
        <v>44196</v>
      </c>
      <c r="R59" s="55">
        <f t="shared" si="2"/>
        <v>4</v>
      </c>
      <c r="T59" s="56">
        <v>12</v>
      </c>
      <c r="U59" s="53" t="s">
        <v>161</v>
      </c>
      <c r="V59" s="53" t="s">
        <v>154</v>
      </c>
      <c r="W59" s="53" t="s">
        <v>142</v>
      </c>
      <c r="X59" s="53" t="s">
        <v>171</v>
      </c>
      <c r="Y59" s="53" t="s">
        <v>138</v>
      </c>
    </row>
    <row r="60" spans="1:25" ht="42" x14ac:dyDescent="0.35">
      <c r="A60" s="63">
        <f t="shared" si="1"/>
        <v>45</v>
      </c>
      <c r="E60" s="53" t="s">
        <v>123</v>
      </c>
      <c r="F60" s="53"/>
      <c r="L60" s="55" t="s">
        <v>110</v>
      </c>
      <c r="N60" s="55" t="s">
        <v>107</v>
      </c>
      <c r="P60" s="64">
        <v>43877</v>
      </c>
      <c r="Q60" s="64">
        <v>44228</v>
      </c>
      <c r="R60" s="55">
        <f t="shared" si="2"/>
        <v>4</v>
      </c>
      <c r="T60" s="56">
        <v>12</v>
      </c>
      <c r="U60" s="53" t="s">
        <v>161</v>
      </c>
      <c r="V60" s="53" t="s">
        <v>154</v>
      </c>
      <c r="W60" s="53" t="s">
        <v>142</v>
      </c>
      <c r="X60" s="53" t="s">
        <v>171</v>
      </c>
      <c r="Y60" s="53" t="s">
        <v>138</v>
      </c>
    </row>
    <row r="61" spans="1:25" x14ac:dyDescent="0.35">
      <c r="A61" s="67">
        <f t="shared" si="1"/>
        <v>46</v>
      </c>
      <c r="G61" s="55" t="s">
        <v>109</v>
      </c>
      <c r="N61" s="55">
        <v>0</v>
      </c>
      <c r="P61" s="64">
        <v>43983</v>
      </c>
      <c r="Q61" s="64">
        <v>43983</v>
      </c>
      <c r="R61" s="55">
        <v>0</v>
      </c>
      <c r="T61" s="54">
        <v>1</v>
      </c>
      <c r="U61" s="55">
        <v>0</v>
      </c>
      <c r="V61" s="53" t="s">
        <v>139</v>
      </c>
      <c r="W61" s="53" t="s">
        <v>138</v>
      </c>
      <c r="X61" s="53" t="s">
        <v>138</v>
      </c>
      <c r="Y61" s="53" t="s">
        <v>138</v>
      </c>
    </row>
    <row r="62" spans="1:25" ht="42" x14ac:dyDescent="0.35">
      <c r="A62" s="67">
        <f t="shared" si="1"/>
        <v>47</v>
      </c>
      <c r="G62" s="55" t="s">
        <v>100</v>
      </c>
      <c r="H62" s="53" t="s">
        <v>152</v>
      </c>
      <c r="N62" s="55">
        <v>0</v>
      </c>
      <c r="P62" s="64">
        <v>43983</v>
      </c>
      <c r="Q62" s="64">
        <v>43996</v>
      </c>
      <c r="R62" s="55">
        <v>0</v>
      </c>
      <c r="T62" s="54">
        <v>3</v>
      </c>
      <c r="U62" s="55">
        <v>0</v>
      </c>
      <c r="V62" s="53" t="s">
        <v>141</v>
      </c>
      <c r="W62" s="53" t="s">
        <v>138</v>
      </c>
      <c r="X62" s="53" t="s">
        <v>138</v>
      </c>
      <c r="Y62" s="53" t="s">
        <v>138</v>
      </c>
    </row>
    <row r="63" spans="1:25" ht="42" x14ac:dyDescent="0.35">
      <c r="A63" s="67">
        <f t="shared" si="1"/>
        <v>48</v>
      </c>
      <c r="G63" s="55" t="s">
        <v>100</v>
      </c>
      <c r="H63" s="53" t="s">
        <v>116</v>
      </c>
      <c r="N63" s="55">
        <v>1</v>
      </c>
      <c r="P63" s="64">
        <v>43983</v>
      </c>
      <c r="Q63" s="64">
        <v>43998</v>
      </c>
      <c r="R63" s="55">
        <v>1</v>
      </c>
      <c r="T63" s="56">
        <v>5</v>
      </c>
      <c r="U63" s="53">
        <v>1</v>
      </c>
      <c r="V63" s="53" t="s">
        <v>144</v>
      </c>
      <c r="W63" s="53" t="s">
        <v>167</v>
      </c>
      <c r="X63" s="53" t="s">
        <v>138</v>
      </c>
      <c r="Y63" s="53" t="s">
        <v>138</v>
      </c>
    </row>
    <row r="64" spans="1:25" ht="28" x14ac:dyDescent="0.35">
      <c r="A64" s="67">
        <f t="shared" si="1"/>
        <v>49</v>
      </c>
      <c r="G64" s="55" t="s">
        <v>100</v>
      </c>
      <c r="I64" s="55" t="s">
        <v>110</v>
      </c>
      <c r="N64" s="55">
        <v>1</v>
      </c>
      <c r="P64" s="64">
        <v>43983</v>
      </c>
      <c r="Q64" s="64">
        <v>44012</v>
      </c>
      <c r="R64" s="55">
        <v>1</v>
      </c>
      <c r="T64" s="56">
        <v>5</v>
      </c>
      <c r="U64" s="53">
        <v>1</v>
      </c>
      <c r="V64" s="53" t="s">
        <v>144</v>
      </c>
      <c r="W64" s="53" t="s">
        <v>167</v>
      </c>
      <c r="X64" s="53" t="s">
        <v>138</v>
      </c>
      <c r="Y64" s="53" t="s">
        <v>138</v>
      </c>
    </row>
    <row r="65" spans="1:25" ht="42" x14ac:dyDescent="0.35">
      <c r="A65" s="67">
        <f t="shared" si="1"/>
        <v>50</v>
      </c>
      <c r="G65" s="55" t="s">
        <v>100</v>
      </c>
      <c r="J65" s="53" t="s">
        <v>117</v>
      </c>
      <c r="N65" s="55">
        <v>1</v>
      </c>
      <c r="P65" s="64">
        <v>43983</v>
      </c>
      <c r="Q65" s="64">
        <v>44057</v>
      </c>
      <c r="R65" s="55">
        <v>1</v>
      </c>
      <c r="T65" s="56">
        <v>5</v>
      </c>
      <c r="U65" s="53">
        <v>1</v>
      </c>
      <c r="V65" s="53" t="s">
        <v>144</v>
      </c>
      <c r="W65" s="53" t="s">
        <v>167</v>
      </c>
      <c r="X65" s="53" t="s">
        <v>138</v>
      </c>
      <c r="Y65" s="53" t="s">
        <v>138</v>
      </c>
    </row>
    <row r="66" spans="1:25" ht="42" x14ac:dyDescent="0.35">
      <c r="A66" s="67">
        <f t="shared" si="1"/>
        <v>51</v>
      </c>
      <c r="G66" s="55" t="s">
        <v>100</v>
      </c>
      <c r="J66" s="53" t="s">
        <v>118</v>
      </c>
      <c r="N66" s="55">
        <v>1</v>
      </c>
      <c r="P66" s="64">
        <v>43983</v>
      </c>
      <c r="Q66" s="64">
        <v>44059</v>
      </c>
      <c r="R66" s="55">
        <v>1</v>
      </c>
      <c r="T66" s="56">
        <v>5</v>
      </c>
      <c r="U66" s="53">
        <v>1</v>
      </c>
      <c r="V66" s="53" t="s">
        <v>144</v>
      </c>
      <c r="W66" s="53" t="s">
        <v>167</v>
      </c>
      <c r="X66" s="53" t="s">
        <v>138</v>
      </c>
      <c r="Y66" s="53" t="s">
        <v>138</v>
      </c>
    </row>
    <row r="67" spans="1:25" ht="28" x14ac:dyDescent="0.35">
      <c r="A67" s="67">
        <f t="shared" si="1"/>
        <v>52</v>
      </c>
      <c r="G67" s="55" t="s">
        <v>100</v>
      </c>
      <c r="K67" s="55" t="s">
        <v>110</v>
      </c>
      <c r="N67" s="55">
        <v>1</v>
      </c>
      <c r="P67" s="64">
        <v>43983</v>
      </c>
      <c r="Q67" s="64">
        <v>44196</v>
      </c>
      <c r="R67" s="55">
        <v>1</v>
      </c>
      <c r="T67" s="56">
        <v>5</v>
      </c>
      <c r="U67" s="53">
        <v>1</v>
      </c>
      <c r="V67" s="53" t="s">
        <v>144</v>
      </c>
      <c r="W67" s="53" t="s">
        <v>167</v>
      </c>
      <c r="X67" s="53" t="s">
        <v>138</v>
      </c>
      <c r="Y67" s="53" t="s">
        <v>138</v>
      </c>
    </row>
    <row r="68" spans="1:25" ht="28" x14ac:dyDescent="0.35">
      <c r="A68" s="67">
        <f t="shared" si="1"/>
        <v>53</v>
      </c>
      <c r="G68" s="55" t="s">
        <v>100</v>
      </c>
      <c r="L68" s="55" t="s">
        <v>110</v>
      </c>
      <c r="N68" s="55">
        <v>1</v>
      </c>
      <c r="P68" s="64">
        <v>43983</v>
      </c>
      <c r="Q68" s="64">
        <v>44228</v>
      </c>
      <c r="R68" s="55">
        <v>1</v>
      </c>
      <c r="T68" s="56">
        <v>5</v>
      </c>
      <c r="U68" s="53">
        <v>1</v>
      </c>
      <c r="V68" s="53" t="s">
        <v>144</v>
      </c>
      <c r="W68" s="53" t="s">
        <v>167</v>
      </c>
      <c r="X68" s="53" t="s">
        <v>138</v>
      </c>
      <c r="Y68" s="53" t="s">
        <v>138</v>
      </c>
    </row>
    <row r="69" spans="1:25" ht="42" x14ac:dyDescent="0.35">
      <c r="A69" s="68">
        <f t="shared" si="1"/>
        <v>54</v>
      </c>
      <c r="H69" s="53" t="s">
        <v>126</v>
      </c>
      <c r="N69" s="55">
        <v>0</v>
      </c>
      <c r="P69" s="64">
        <v>43996</v>
      </c>
      <c r="Q69" s="64">
        <v>43996</v>
      </c>
      <c r="R69" s="55">
        <v>0</v>
      </c>
      <c r="T69" s="54">
        <v>1</v>
      </c>
      <c r="U69" s="55">
        <v>0</v>
      </c>
      <c r="V69" s="53" t="s">
        <v>139</v>
      </c>
      <c r="W69" s="53" t="s">
        <v>138</v>
      </c>
      <c r="X69" s="53" t="s">
        <v>138</v>
      </c>
      <c r="Y69" s="53" t="s">
        <v>138</v>
      </c>
    </row>
    <row r="70" spans="1:25" ht="42" x14ac:dyDescent="0.35">
      <c r="A70" s="68">
        <f t="shared" si="1"/>
        <v>55</v>
      </c>
      <c r="H70" s="53" t="s">
        <v>127</v>
      </c>
      <c r="I70" s="55" t="s">
        <v>110</v>
      </c>
      <c r="N70" s="55">
        <v>1</v>
      </c>
      <c r="P70" s="64">
        <v>43996</v>
      </c>
      <c r="Q70" s="64">
        <v>44012</v>
      </c>
      <c r="R70" s="55">
        <v>1</v>
      </c>
      <c r="T70" s="56">
        <v>6</v>
      </c>
      <c r="U70" s="53">
        <v>1</v>
      </c>
      <c r="V70" s="53" t="s">
        <v>143</v>
      </c>
      <c r="W70" s="53" t="s">
        <v>145</v>
      </c>
      <c r="X70" s="53" t="s">
        <v>146</v>
      </c>
      <c r="Y70" s="53" t="s">
        <v>138</v>
      </c>
    </row>
    <row r="71" spans="1:25" ht="42" x14ac:dyDescent="0.35">
      <c r="A71" s="68">
        <f t="shared" si="1"/>
        <v>56</v>
      </c>
      <c r="H71" s="53" t="s">
        <v>127</v>
      </c>
      <c r="J71" s="53" t="s">
        <v>117</v>
      </c>
      <c r="N71" s="55">
        <v>1</v>
      </c>
      <c r="P71" s="64">
        <v>43996</v>
      </c>
      <c r="Q71" s="64">
        <v>44057</v>
      </c>
      <c r="R71" s="55">
        <v>1</v>
      </c>
      <c r="T71" s="56">
        <v>6</v>
      </c>
      <c r="U71" s="53">
        <v>1</v>
      </c>
      <c r="V71" s="53" t="s">
        <v>143</v>
      </c>
      <c r="W71" s="53" t="s">
        <v>145</v>
      </c>
      <c r="X71" s="53" t="s">
        <v>146</v>
      </c>
      <c r="Y71" s="53" t="s">
        <v>138</v>
      </c>
    </row>
    <row r="72" spans="1:25" ht="42" x14ac:dyDescent="0.35">
      <c r="A72" s="68">
        <f t="shared" si="1"/>
        <v>57</v>
      </c>
      <c r="H72" s="53" t="s">
        <v>127</v>
      </c>
      <c r="J72" s="53" t="s">
        <v>118</v>
      </c>
      <c r="N72" s="55">
        <v>1</v>
      </c>
      <c r="P72" s="64">
        <v>43996</v>
      </c>
      <c r="Q72" s="64">
        <v>44059</v>
      </c>
      <c r="R72" s="55">
        <v>1</v>
      </c>
      <c r="T72" s="56">
        <v>6</v>
      </c>
      <c r="U72" s="53">
        <v>1</v>
      </c>
      <c r="V72" s="53" t="s">
        <v>143</v>
      </c>
      <c r="W72" s="53" t="s">
        <v>145</v>
      </c>
      <c r="X72" s="53" t="s">
        <v>146</v>
      </c>
      <c r="Y72" s="53" t="s">
        <v>138</v>
      </c>
    </row>
    <row r="73" spans="1:25" ht="42" x14ac:dyDescent="0.35">
      <c r="A73" s="68">
        <f t="shared" si="1"/>
        <v>58</v>
      </c>
      <c r="H73" s="53" t="s">
        <v>127</v>
      </c>
      <c r="K73" s="55" t="s">
        <v>110</v>
      </c>
      <c r="N73" s="55">
        <v>1</v>
      </c>
      <c r="P73" s="64">
        <v>43996</v>
      </c>
      <c r="Q73" s="64">
        <v>44196</v>
      </c>
      <c r="R73" s="55">
        <v>1</v>
      </c>
      <c r="T73" s="56">
        <v>6</v>
      </c>
      <c r="U73" s="53">
        <v>1</v>
      </c>
      <c r="V73" s="53" t="s">
        <v>143</v>
      </c>
      <c r="W73" s="53" t="s">
        <v>145</v>
      </c>
      <c r="X73" s="53" t="s">
        <v>146</v>
      </c>
      <c r="Y73" s="53" t="s">
        <v>138</v>
      </c>
    </row>
    <row r="74" spans="1:25" ht="42" x14ac:dyDescent="0.35">
      <c r="A74" s="68">
        <f t="shared" si="1"/>
        <v>59</v>
      </c>
      <c r="H74" s="53" t="s">
        <v>127</v>
      </c>
      <c r="L74" s="55" t="s">
        <v>110</v>
      </c>
      <c r="N74" s="55">
        <v>1</v>
      </c>
      <c r="P74" s="64">
        <v>43996</v>
      </c>
      <c r="Q74" s="64">
        <v>44228</v>
      </c>
      <c r="R74" s="55">
        <v>1</v>
      </c>
      <c r="T74" s="56">
        <v>6</v>
      </c>
      <c r="U74" s="53">
        <v>1</v>
      </c>
      <c r="V74" s="53" t="s">
        <v>143</v>
      </c>
      <c r="W74" s="53" t="s">
        <v>145</v>
      </c>
      <c r="X74" s="53" t="s">
        <v>146</v>
      </c>
      <c r="Y74" s="53" t="s">
        <v>138</v>
      </c>
    </row>
    <row r="75" spans="1:25" ht="42" x14ac:dyDescent="0.35">
      <c r="A75" s="69">
        <f t="shared" si="1"/>
        <v>60</v>
      </c>
      <c r="H75" s="53" t="s">
        <v>129</v>
      </c>
      <c r="N75" s="55">
        <v>0</v>
      </c>
      <c r="P75" s="64">
        <v>43998</v>
      </c>
      <c r="Q75" s="64">
        <v>43998</v>
      </c>
      <c r="R75" s="55">
        <v>0</v>
      </c>
      <c r="T75" s="54">
        <v>1</v>
      </c>
      <c r="U75" s="55">
        <v>0</v>
      </c>
      <c r="V75" s="53" t="s">
        <v>139</v>
      </c>
      <c r="W75" s="53" t="s">
        <v>138</v>
      </c>
      <c r="X75" s="53" t="s">
        <v>138</v>
      </c>
      <c r="Y75" s="53" t="s">
        <v>138</v>
      </c>
    </row>
    <row r="76" spans="1:25" ht="42" x14ac:dyDescent="0.35">
      <c r="A76" s="69">
        <f t="shared" si="1"/>
        <v>61</v>
      </c>
      <c r="H76" s="53" t="s">
        <v>128</v>
      </c>
      <c r="I76" s="55" t="s">
        <v>110</v>
      </c>
      <c r="N76" s="55">
        <v>0</v>
      </c>
      <c r="P76" s="64">
        <v>43998</v>
      </c>
      <c r="Q76" s="64">
        <v>44012</v>
      </c>
      <c r="R76" s="55">
        <v>0</v>
      </c>
      <c r="T76" s="56">
        <v>4</v>
      </c>
      <c r="U76" s="55">
        <v>0</v>
      </c>
      <c r="V76" s="53" t="s">
        <v>166</v>
      </c>
      <c r="W76" s="53" t="s">
        <v>138</v>
      </c>
      <c r="X76" s="53" t="s">
        <v>138</v>
      </c>
      <c r="Y76" s="53" t="s">
        <v>138</v>
      </c>
    </row>
    <row r="77" spans="1:25" ht="42" x14ac:dyDescent="0.35">
      <c r="A77" s="69">
        <f t="shared" si="1"/>
        <v>62</v>
      </c>
      <c r="H77" s="53" t="s">
        <v>128</v>
      </c>
      <c r="J77" s="53" t="s">
        <v>117</v>
      </c>
      <c r="N77" s="55">
        <v>0</v>
      </c>
      <c r="P77" s="64">
        <v>43998</v>
      </c>
      <c r="Q77" s="64">
        <v>44057</v>
      </c>
      <c r="R77" s="55">
        <v>0</v>
      </c>
      <c r="T77" s="56">
        <v>4</v>
      </c>
      <c r="U77" s="55">
        <v>0</v>
      </c>
      <c r="V77" s="53" t="s">
        <v>166</v>
      </c>
      <c r="W77" s="53" t="s">
        <v>138</v>
      </c>
      <c r="X77" s="53" t="s">
        <v>138</v>
      </c>
      <c r="Y77" s="53" t="s">
        <v>138</v>
      </c>
    </row>
    <row r="78" spans="1:25" ht="42" x14ac:dyDescent="0.35">
      <c r="A78" s="69">
        <f t="shared" si="1"/>
        <v>63</v>
      </c>
      <c r="H78" s="53" t="s">
        <v>128</v>
      </c>
      <c r="J78" s="53" t="s">
        <v>118</v>
      </c>
      <c r="N78" s="55">
        <v>0</v>
      </c>
      <c r="P78" s="64">
        <v>43998</v>
      </c>
      <c r="Q78" s="64">
        <v>44059</v>
      </c>
      <c r="R78" s="55">
        <v>0</v>
      </c>
      <c r="T78" s="56">
        <v>4</v>
      </c>
      <c r="U78" s="55">
        <v>0</v>
      </c>
      <c r="V78" s="53" t="s">
        <v>166</v>
      </c>
      <c r="W78" s="53" t="s">
        <v>138</v>
      </c>
      <c r="X78" s="53" t="s">
        <v>138</v>
      </c>
      <c r="Y78" s="53" t="s">
        <v>138</v>
      </c>
    </row>
    <row r="79" spans="1:25" ht="42" x14ac:dyDescent="0.35">
      <c r="A79" s="69">
        <f t="shared" si="1"/>
        <v>64</v>
      </c>
      <c r="H79" s="53" t="s">
        <v>128</v>
      </c>
      <c r="K79" s="55" t="s">
        <v>110</v>
      </c>
      <c r="N79" s="55">
        <v>0</v>
      </c>
      <c r="P79" s="64">
        <v>43998</v>
      </c>
      <c r="Q79" s="64">
        <v>44196</v>
      </c>
      <c r="R79" s="55">
        <v>0</v>
      </c>
      <c r="T79" s="56">
        <v>4</v>
      </c>
      <c r="U79" s="55">
        <v>0</v>
      </c>
      <c r="V79" s="53" t="s">
        <v>166</v>
      </c>
      <c r="W79" s="53" t="s">
        <v>138</v>
      </c>
      <c r="X79" s="53" t="s">
        <v>138</v>
      </c>
      <c r="Y79" s="53" t="s">
        <v>138</v>
      </c>
    </row>
    <row r="80" spans="1:25" ht="42" x14ac:dyDescent="0.35">
      <c r="A80" s="69">
        <f t="shared" ref="A80:A87" si="3">ROW()-ROW($A$15)</f>
        <v>65</v>
      </c>
      <c r="H80" s="53" t="s">
        <v>128</v>
      </c>
      <c r="L80" s="55" t="s">
        <v>110</v>
      </c>
      <c r="N80" s="55">
        <v>0</v>
      </c>
      <c r="P80" s="64">
        <v>43998</v>
      </c>
      <c r="Q80" s="64">
        <v>44228</v>
      </c>
      <c r="R80" s="55">
        <v>0</v>
      </c>
      <c r="T80" s="56">
        <v>4</v>
      </c>
      <c r="U80" s="55">
        <v>0</v>
      </c>
      <c r="V80" s="53" t="s">
        <v>166</v>
      </c>
      <c r="W80" s="53" t="s">
        <v>138</v>
      </c>
      <c r="X80" s="53" t="s">
        <v>138</v>
      </c>
      <c r="Y80" s="53" t="s">
        <v>138</v>
      </c>
    </row>
    <row r="81" spans="1:25" ht="28" x14ac:dyDescent="0.35">
      <c r="A81" s="65">
        <f t="shared" si="3"/>
        <v>66</v>
      </c>
      <c r="I81" s="55" t="s">
        <v>109</v>
      </c>
      <c r="N81" s="55">
        <v>0</v>
      </c>
      <c r="P81" s="64">
        <v>44012</v>
      </c>
      <c r="Q81" s="64">
        <v>44012</v>
      </c>
      <c r="R81" s="55">
        <v>0</v>
      </c>
      <c r="T81" s="56">
        <v>4</v>
      </c>
      <c r="U81" s="55">
        <v>0</v>
      </c>
      <c r="V81" s="53" t="s">
        <v>166</v>
      </c>
      <c r="W81" s="53" t="s">
        <v>138</v>
      </c>
      <c r="X81" s="53" t="s">
        <v>138</v>
      </c>
      <c r="Y81" s="53" t="s">
        <v>138</v>
      </c>
    </row>
    <row r="82" spans="1:25" ht="42" x14ac:dyDescent="0.35">
      <c r="A82" s="65">
        <f t="shared" si="3"/>
        <v>67</v>
      </c>
      <c r="I82" s="55" t="s">
        <v>100</v>
      </c>
      <c r="J82" s="53" t="s">
        <v>117</v>
      </c>
      <c r="N82" s="55">
        <v>0</v>
      </c>
      <c r="P82" s="64">
        <v>44012</v>
      </c>
      <c r="Q82" s="64">
        <v>44057</v>
      </c>
      <c r="R82" s="55">
        <v>0</v>
      </c>
      <c r="T82" s="56">
        <v>4</v>
      </c>
      <c r="U82" s="55">
        <v>0</v>
      </c>
      <c r="V82" s="53" t="s">
        <v>166</v>
      </c>
      <c r="W82" s="53" t="s">
        <v>138</v>
      </c>
      <c r="X82" s="53" t="s">
        <v>138</v>
      </c>
      <c r="Y82" s="53" t="s">
        <v>138</v>
      </c>
    </row>
    <row r="83" spans="1:25" ht="42" x14ac:dyDescent="0.35">
      <c r="A83" s="65">
        <f t="shared" si="3"/>
        <v>68</v>
      </c>
      <c r="I83" s="55" t="s">
        <v>100</v>
      </c>
      <c r="J83" s="53" t="s">
        <v>118</v>
      </c>
      <c r="N83" s="55">
        <v>0</v>
      </c>
      <c r="P83" s="64">
        <v>44012</v>
      </c>
      <c r="Q83" s="64">
        <v>44059</v>
      </c>
      <c r="R83" s="55">
        <v>0</v>
      </c>
      <c r="T83" s="56">
        <v>4</v>
      </c>
      <c r="U83" s="55">
        <v>0</v>
      </c>
      <c r="V83" s="53" t="s">
        <v>166</v>
      </c>
      <c r="W83" s="53" t="s">
        <v>138</v>
      </c>
      <c r="X83" s="53" t="s">
        <v>138</v>
      </c>
      <c r="Y83" s="53" t="s">
        <v>138</v>
      </c>
    </row>
    <row r="84" spans="1:25" ht="28" x14ac:dyDescent="0.35">
      <c r="A84" s="65">
        <f t="shared" si="3"/>
        <v>69</v>
      </c>
      <c r="I84" s="55" t="s">
        <v>100</v>
      </c>
      <c r="K84" s="55" t="s">
        <v>110</v>
      </c>
      <c r="N84" s="55">
        <v>0</v>
      </c>
      <c r="P84" s="64">
        <v>44012</v>
      </c>
      <c r="Q84" s="64">
        <v>44196</v>
      </c>
      <c r="R84" s="55">
        <v>0</v>
      </c>
      <c r="T84" s="56">
        <v>4</v>
      </c>
      <c r="U84" s="55">
        <v>0</v>
      </c>
      <c r="V84" s="53" t="s">
        <v>166</v>
      </c>
      <c r="W84" s="53" t="s">
        <v>138</v>
      </c>
      <c r="X84" s="53" t="s">
        <v>138</v>
      </c>
      <c r="Y84" s="53" t="s">
        <v>138</v>
      </c>
    </row>
    <row r="85" spans="1:25" ht="28" x14ac:dyDescent="0.35">
      <c r="A85" s="65">
        <f t="shared" si="3"/>
        <v>70</v>
      </c>
      <c r="I85" s="55" t="s">
        <v>100</v>
      </c>
      <c r="L85" s="55" t="s">
        <v>110</v>
      </c>
      <c r="N85" s="55">
        <v>0</v>
      </c>
      <c r="P85" s="64">
        <v>44012</v>
      </c>
      <c r="Q85" s="64">
        <v>44228</v>
      </c>
      <c r="R85" s="55">
        <v>0</v>
      </c>
      <c r="T85" s="56">
        <v>4</v>
      </c>
      <c r="U85" s="55">
        <v>0</v>
      </c>
      <c r="V85" s="53" t="s">
        <v>166</v>
      </c>
      <c r="W85" s="53" t="s">
        <v>138</v>
      </c>
      <c r="X85" s="53" t="s">
        <v>138</v>
      </c>
      <c r="Y85" s="53" t="s">
        <v>138</v>
      </c>
    </row>
    <row r="86" spans="1:25" ht="42" x14ac:dyDescent="0.35">
      <c r="A86" s="70">
        <f t="shared" si="3"/>
        <v>71</v>
      </c>
      <c r="J86" s="53" t="s">
        <v>130</v>
      </c>
      <c r="N86" s="55">
        <v>0</v>
      </c>
      <c r="P86" s="64">
        <v>44057</v>
      </c>
      <c r="Q86" s="64">
        <v>44057</v>
      </c>
      <c r="R86" s="55">
        <v>0</v>
      </c>
      <c r="T86" s="56">
        <v>4</v>
      </c>
      <c r="U86" s="55">
        <v>0</v>
      </c>
      <c r="V86" s="53" t="s">
        <v>166</v>
      </c>
      <c r="W86" s="53" t="s">
        <v>138</v>
      </c>
      <c r="X86" s="53" t="s">
        <v>138</v>
      </c>
      <c r="Y86" s="53" t="s">
        <v>138</v>
      </c>
    </row>
    <row r="87" spans="1:25" ht="42" x14ac:dyDescent="0.35">
      <c r="A87" s="70">
        <f t="shared" si="3"/>
        <v>72</v>
      </c>
      <c r="J87" s="53" t="s">
        <v>131</v>
      </c>
      <c r="K87" s="55" t="s">
        <v>110</v>
      </c>
      <c r="N87" s="55">
        <v>0</v>
      </c>
      <c r="P87" s="64">
        <v>44057</v>
      </c>
      <c r="Q87" s="64">
        <v>44196</v>
      </c>
      <c r="R87" s="55">
        <v>0</v>
      </c>
      <c r="T87" s="56">
        <v>4</v>
      </c>
      <c r="U87" s="55">
        <v>0</v>
      </c>
      <c r="V87" s="53" t="s">
        <v>166</v>
      </c>
      <c r="W87" s="53" t="s">
        <v>138</v>
      </c>
      <c r="X87" s="53" t="s">
        <v>138</v>
      </c>
      <c r="Y87" s="53" t="s">
        <v>138</v>
      </c>
    </row>
    <row r="88" spans="1:25" ht="42" x14ac:dyDescent="0.35">
      <c r="A88" s="70">
        <f t="shared" ref="A88:A95" si="4">ROW()-ROW($A$15)</f>
        <v>73</v>
      </c>
      <c r="J88" s="53" t="s">
        <v>131</v>
      </c>
      <c r="L88" s="55" t="s">
        <v>110</v>
      </c>
      <c r="N88" s="55">
        <v>0</v>
      </c>
      <c r="P88" s="64">
        <v>44057</v>
      </c>
      <c r="Q88" s="64">
        <v>44228</v>
      </c>
      <c r="R88" s="55">
        <v>0</v>
      </c>
      <c r="T88" s="56">
        <v>4</v>
      </c>
      <c r="U88" s="55">
        <v>0</v>
      </c>
      <c r="V88" s="53" t="s">
        <v>166</v>
      </c>
      <c r="W88" s="53" t="s">
        <v>138</v>
      </c>
      <c r="X88" s="53" t="s">
        <v>138</v>
      </c>
      <c r="Y88" s="53" t="s">
        <v>138</v>
      </c>
    </row>
    <row r="89" spans="1:25" ht="42" x14ac:dyDescent="0.35">
      <c r="A89" s="71">
        <f t="shared" si="4"/>
        <v>74</v>
      </c>
      <c r="J89" s="53" t="s">
        <v>132</v>
      </c>
      <c r="N89" s="55">
        <v>0</v>
      </c>
      <c r="P89" s="64">
        <v>44059</v>
      </c>
      <c r="Q89" s="64">
        <v>44059</v>
      </c>
      <c r="R89" s="55">
        <v>0</v>
      </c>
      <c r="T89" s="56">
        <v>4</v>
      </c>
      <c r="U89" s="55">
        <v>0</v>
      </c>
      <c r="V89" s="53" t="s">
        <v>166</v>
      </c>
      <c r="W89" s="53" t="s">
        <v>138</v>
      </c>
      <c r="X89" s="53" t="s">
        <v>138</v>
      </c>
      <c r="Y89" s="53" t="s">
        <v>138</v>
      </c>
    </row>
    <row r="90" spans="1:25" ht="42" x14ac:dyDescent="0.35">
      <c r="A90" s="71">
        <f t="shared" si="4"/>
        <v>75</v>
      </c>
      <c r="J90" s="53" t="s">
        <v>133</v>
      </c>
      <c r="K90" s="55" t="s">
        <v>110</v>
      </c>
      <c r="N90" s="55">
        <v>0</v>
      </c>
      <c r="P90" s="64">
        <v>44059</v>
      </c>
      <c r="Q90" s="64">
        <v>44196</v>
      </c>
      <c r="R90" s="55">
        <v>0</v>
      </c>
      <c r="T90" s="56">
        <v>4</v>
      </c>
      <c r="U90" s="55">
        <v>0</v>
      </c>
      <c r="V90" s="53" t="s">
        <v>166</v>
      </c>
      <c r="W90" s="53" t="s">
        <v>138</v>
      </c>
      <c r="X90" s="53" t="s">
        <v>138</v>
      </c>
      <c r="Y90" s="53" t="s">
        <v>138</v>
      </c>
    </row>
    <row r="91" spans="1:25" ht="42" x14ac:dyDescent="0.35">
      <c r="A91" s="71">
        <f t="shared" si="4"/>
        <v>76</v>
      </c>
      <c r="J91" s="53" t="s">
        <v>133</v>
      </c>
      <c r="L91" s="55" t="s">
        <v>110</v>
      </c>
      <c r="N91" s="55">
        <v>0</v>
      </c>
      <c r="P91" s="64">
        <v>44059</v>
      </c>
      <c r="Q91" s="64">
        <v>44228</v>
      </c>
      <c r="R91" s="55">
        <v>0</v>
      </c>
      <c r="T91" s="56">
        <v>4</v>
      </c>
      <c r="U91" s="55">
        <v>0</v>
      </c>
      <c r="V91" s="53" t="s">
        <v>166</v>
      </c>
      <c r="W91" s="53" t="s">
        <v>138</v>
      </c>
      <c r="X91" s="53" t="s">
        <v>138</v>
      </c>
      <c r="Y91" s="53" t="s">
        <v>138</v>
      </c>
    </row>
    <row r="92" spans="1:25" ht="28" x14ac:dyDescent="0.35">
      <c r="A92" s="55">
        <f t="shared" si="4"/>
        <v>77</v>
      </c>
      <c r="K92" s="55" t="s">
        <v>109</v>
      </c>
      <c r="N92" s="55">
        <v>0</v>
      </c>
      <c r="P92" s="64">
        <v>44196</v>
      </c>
      <c r="Q92" s="64">
        <v>44196</v>
      </c>
      <c r="R92" s="55">
        <v>0</v>
      </c>
      <c r="T92" s="56">
        <v>4</v>
      </c>
      <c r="U92" s="55">
        <v>0</v>
      </c>
      <c r="V92" s="53" t="s">
        <v>166</v>
      </c>
      <c r="W92" s="53" t="s">
        <v>138</v>
      </c>
      <c r="X92" s="53" t="s">
        <v>138</v>
      </c>
      <c r="Y92" s="53" t="s">
        <v>138</v>
      </c>
    </row>
    <row r="93" spans="1:25" ht="28" x14ac:dyDescent="0.35">
      <c r="A93" s="55">
        <f t="shared" si="4"/>
        <v>78</v>
      </c>
      <c r="J93" s="53"/>
      <c r="K93" s="55" t="s">
        <v>100</v>
      </c>
      <c r="L93" s="55" t="s">
        <v>110</v>
      </c>
      <c r="N93" s="55">
        <v>0</v>
      </c>
      <c r="P93" s="64">
        <v>44196</v>
      </c>
      <c r="Q93" s="64">
        <v>44228</v>
      </c>
      <c r="R93" s="55">
        <v>0</v>
      </c>
      <c r="T93" s="56">
        <v>4</v>
      </c>
      <c r="U93" s="55">
        <v>0</v>
      </c>
      <c r="V93" s="53" t="s">
        <v>166</v>
      </c>
      <c r="W93" s="53" t="s">
        <v>138</v>
      </c>
      <c r="X93" s="53" t="s">
        <v>138</v>
      </c>
      <c r="Y93" s="53" t="s">
        <v>138</v>
      </c>
    </row>
    <row r="94" spans="1:25" ht="28" x14ac:dyDescent="0.35">
      <c r="A94" s="55">
        <f t="shared" si="4"/>
        <v>79</v>
      </c>
      <c r="J94" s="53"/>
      <c r="L94" s="55" t="s">
        <v>109</v>
      </c>
      <c r="N94" s="55">
        <v>0</v>
      </c>
      <c r="P94" s="64">
        <v>44228</v>
      </c>
      <c r="Q94" s="64">
        <v>44228</v>
      </c>
      <c r="R94" s="55">
        <v>0</v>
      </c>
      <c r="T94" s="56">
        <v>4</v>
      </c>
      <c r="U94" s="55">
        <v>0</v>
      </c>
      <c r="V94" s="53" t="s">
        <v>166</v>
      </c>
      <c r="W94" s="53" t="s">
        <v>138</v>
      </c>
      <c r="X94" s="53" t="s">
        <v>138</v>
      </c>
      <c r="Y94" s="53" t="s">
        <v>138</v>
      </c>
    </row>
    <row r="95" spans="1:25" x14ac:dyDescent="0.35">
      <c r="A95" s="55">
        <f t="shared" si="4"/>
        <v>80</v>
      </c>
      <c r="B95" s="55" t="s">
        <v>100</v>
      </c>
      <c r="C95" s="55" t="s">
        <v>110</v>
      </c>
      <c r="N95" s="55">
        <v>0</v>
      </c>
      <c r="P95" s="64">
        <v>43497</v>
      </c>
      <c r="Q95" s="64">
        <v>43830</v>
      </c>
      <c r="R95" s="55">
        <v>0</v>
      </c>
      <c r="T95" s="55">
        <v>0</v>
      </c>
      <c r="U95" s="55">
        <v>0</v>
      </c>
      <c r="V95" s="53" t="s">
        <v>244</v>
      </c>
      <c r="W95" s="53" t="s">
        <v>245</v>
      </c>
      <c r="X95" s="53" t="s">
        <v>138</v>
      </c>
      <c r="Y95" s="53" t="s">
        <v>138</v>
      </c>
    </row>
    <row r="96" spans="1:25" x14ac:dyDescent="0.35">
      <c r="E96" s="72"/>
      <c r="F96" s="72"/>
    </row>
    <row r="97" spans="5:6" x14ac:dyDescent="0.35">
      <c r="E97" s="72"/>
      <c r="F97" s="72"/>
    </row>
  </sheetData>
  <autoFilter ref="A15:Y95" xr:uid="{1201D109-8F16-45C6-9A8B-E36C53A425D3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CBF3B-E9E1-4E16-B8CD-FD26DF6B99C7}">
  <sheetPr>
    <tabColor theme="5"/>
  </sheetPr>
  <dimension ref="A1:AL34"/>
  <sheetViews>
    <sheetView showGridLines="0" zoomScale="85" zoomScaleNormal="85" workbookViewId="0">
      <selection activeCell="R7" sqref="R7"/>
    </sheetView>
  </sheetViews>
  <sheetFormatPr defaultRowHeight="14.5" x14ac:dyDescent="0.35"/>
  <cols>
    <col min="1" max="1" width="4.453125" style="145" customWidth="1"/>
    <col min="2" max="2" width="2.90625" style="145" customWidth="1"/>
    <col min="3" max="3" width="16.1796875" style="145" customWidth="1"/>
    <col min="4" max="4" width="6.26953125" style="145" customWidth="1"/>
    <col min="5" max="5" width="5.81640625" style="145" customWidth="1"/>
    <col min="6" max="6" width="8.6328125" style="145" customWidth="1"/>
    <col min="7" max="7" width="7.36328125" style="145" customWidth="1"/>
    <col min="8" max="8" width="14.7265625" style="145" customWidth="1"/>
    <col min="9" max="9" width="6.7265625" style="145" customWidth="1"/>
    <col min="10" max="10" width="15.6328125" style="145" customWidth="1"/>
    <col min="11" max="11" width="5.1796875" style="145" customWidth="1"/>
    <col min="12" max="12" width="17.1796875" style="145" customWidth="1"/>
    <col min="13" max="13" width="5.26953125" style="145" customWidth="1"/>
    <col min="14" max="14" width="14.6328125" style="145" customWidth="1"/>
    <col min="15" max="15" width="9.1796875" style="145" customWidth="1"/>
    <col min="16" max="16" width="15.08984375" style="145" customWidth="1"/>
    <col min="17" max="17" width="3.81640625" style="145" customWidth="1"/>
    <col min="18" max="18" width="26" style="145" bestFit="1" customWidth="1"/>
    <col min="19" max="19" width="8.7265625" style="145"/>
    <col min="20" max="20" width="12.08984375" style="145" bestFit="1" customWidth="1"/>
    <col min="21" max="21" width="8.7265625" style="145"/>
    <col min="22" max="22" width="6.08984375" style="145" bestFit="1" customWidth="1"/>
    <col min="23" max="16384" width="8.7265625" style="145"/>
  </cols>
  <sheetData>
    <row r="1" spans="1:38" ht="15" thickBot="1" x14ac:dyDescent="0.4"/>
    <row r="2" spans="1:38" ht="42" customHeight="1" thickTop="1" x14ac:dyDescent="0.35">
      <c r="B2" s="207" t="s">
        <v>491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9"/>
    </row>
    <row r="3" spans="1:38" ht="15" thickBot="1" x14ac:dyDescent="0.4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6"/>
    </row>
    <row r="4" spans="1:38" s="165" customFormat="1" ht="36.5" customHeight="1" thickTop="1" x14ac:dyDescent="0.35">
      <c r="B4" s="166"/>
      <c r="C4" s="167" t="s">
        <v>247</v>
      </c>
      <c r="D4" s="168"/>
      <c r="E4" s="219" t="s">
        <v>248</v>
      </c>
      <c r="F4" s="220"/>
      <c r="G4" s="168"/>
      <c r="H4" s="167" t="s">
        <v>168</v>
      </c>
      <c r="I4" s="168"/>
      <c r="J4" s="167" t="s">
        <v>169</v>
      </c>
      <c r="K4" s="168"/>
      <c r="L4" s="167" t="s">
        <v>170</v>
      </c>
      <c r="M4" s="168"/>
      <c r="N4" s="170" t="s">
        <v>17</v>
      </c>
      <c r="O4" s="171" t="s">
        <v>75</v>
      </c>
      <c r="P4" s="172" t="s">
        <v>74</v>
      </c>
      <c r="Q4" s="169"/>
    </row>
    <row r="5" spans="1:38" ht="18.5" thickBot="1" x14ac:dyDescent="0.4">
      <c r="B5" s="154"/>
      <c r="C5" s="147">
        <f>DATE(O5,1,1)</f>
        <v>43831</v>
      </c>
      <c r="D5" s="155"/>
      <c r="E5" s="221">
        <f>EOMONTH(C5,11)</f>
        <v>44196</v>
      </c>
      <c r="F5" s="222"/>
      <c r="G5" s="155"/>
      <c r="H5" s="147">
        <f>DATE(O5,6,1)</f>
        <v>43983</v>
      </c>
      <c r="I5" s="155"/>
      <c r="J5" s="147">
        <f>DATE(YEAR(H5),MONTH(H5),15)</f>
        <v>43997</v>
      </c>
      <c r="K5" s="155"/>
      <c r="L5" s="147">
        <f>EOMONTH(H5,0)</f>
        <v>44012</v>
      </c>
      <c r="M5" s="155"/>
      <c r="N5" s="181">
        <v>6</v>
      </c>
      <c r="O5" s="181">
        <v>2020</v>
      </c>
      <c r="P5" s="147" t="str">
        <f>TEXT(N5,"00")&amp;"/"&amp;TEXT(O5,"00")</f>
        <v>06/2020</v>
      </c>
      <c r="Q5" s="156"/>
    </row>
    <row r="6" spans="1:38" ht="11" customHeight="1" thickTop="1" thickBot="1" x14ac:dyDescent="0.4">
      <c r="B6" s="157"/>
      <c r="C6" s="158"/>
      <c r="D6" s="158"/>
      <c r="E6" s="158"/>
      <c r="F6" s="158"/>
      <c r="G6" s="158"/>
      <c r="H6" s="158"/>
      <c r="I6" s="158"/>
      <c r="J6" s="160"/>
      <c r="K6" s="158"/>
      <c r="L6" s="160"/>
      <c r="M6" s="158"/>
      <c r="N6" s="161"/>
      <c r="O6" s="161"/>
      <c r="P6" s="160"/>
      <c r="Q6" s="159"/>
    </row>
    <row r="7" spans="1:38" ht="27.5" customHeight="1" thickTop="1" thickBot="1" x14ac:dyDescent="0.4"/>
    <row r="8" spans="1:38" ht="30.5" thickTop="1" x14ac:dyDescent="0.35">
      <c r="B8" s="207" t="s">
        <v>484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9"/>
    </row>
    <row r="9" spans="1:38" ht="15" thickBot="1" x14ac:dyDescent="0.4">
      <c r="B9" s="154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6"/>
    </row>
    <row r="10" spans="1:38" s="142" customFormat="1" ht="22.5" customHeight="1" thickTop="1" thickBot="1" x14ac:dyDescent="0.4">
      <c r="A10" s="141"/>
      <c r="B10" s="148"/>
      <c r="C10" s="185" t="s">
        <v>485</v>
      </c>
      <c r="D10" s="149"/>
      <c r="E10" s="210" t="s">
        <v>261</v>
      </c>
      <c r="F10" s="211"/>
      <c r="G10" s="211"/>
      <c r="H10" s="212"/>
      <c r="I10" s="149"/>
      <c r="J10" s="210" t="s">
        <v>3</v>
      </c>
      <c r="K10" s="211"/>
      <c r="L10" s="212"/>
      <c r="N10" s="210" t="s">
        <v>63</v>
      </c>
      <c r="O10" s="211"/>
      <c r="P10" s="212"/>
      <c r="Q10" s="150"/>
      <c r="U10" s="143"/>
      <c r="AD10" s="144"/>
      <c r="AL10" s="144" t="s">
        <v>66</v>
      </c>
    </row>
    <row r="11" spans="1:38" s="142" customFormat="1" ht="23.5" customHeight="1" thickTop="1" thickBot="1" x14ac:dyDescent="0.4">
      <c r="B11" s="148"/>
      <c r="C11" s="244" t="s">
        <v>29</v>
      </c>
      <c r="D11" s="149"/>
      <c r="E11" s="223" t="str">
        <f>IFERROR(INDEX('Data DSNV'!E:E,MATCH(C11,'Data DSNV'!C:C,0),1),"")</f>
        <v>Nguyễn Thu Thủy</v>
      </c>
      <c r="F11" s="224"/>
      <c r="G11" s="224"/>
      <c r="H11" s="225"/>
      <c r="I11" s="149"/>
      <c r="J11" s="213">
        <f>IFERROR(INDEX('Data DSNV'!AI:AI,MATCH(C11,'Data DSNV'!C:C,0),1),"")</f>
        <v>43101</v>
      </c>
      <c r="K11" s="214"/>
      <c r="L11" s="215"/>
      <c r="N11" s="213">
        <f>IFERROR(INDEX('Data DSNV'!AL:AL,MATCH(C11,'Data DSNV'!C:C,0),1),"")</f>
        <v>43161</v>
      </c>
      <c r="O11" s="214"/>
      <c r="P11" s="215"/>
      <c r="Q11" s="150"/>
      <c r="U11" s="143"/>
      <c r="W11" s="162"/>
      <c r="X11" s="162"/>
      <c r="Y11" s="162"/>
      <c r="Z11" s="162"/>
      <c r="AA11" s="162"/>
      <c r="AB11" s="162"/>
      <c r="AD11" s="163"/>
      <c r="AL11" s="163">
        <f ca="1">SUM('Phép 2020'!AK6:AK28)</f>
        <v>4</v>
      </c>
    </row>
    <row r="12" spans="1:38" ht="4.5" customHeight="1" thickTop="1" thickBot="1" x14ac:dyDescent="0.4">
      <c r="B12" s="154"/>
      <c r="C12" s="244"/>
      <c r="D12" s="155"/>
      <c r="E12" s="223"/>
      <c r="F12" s="224"/>
      <c r="G12" s="224"/>
      <c r="H12" s="225"/>
      <c r="I12" s="155"/>
      <c r="J12" s="155"/>
      <c r="K12" s="155"/>
      <c r="L12" s="155"/>
      <c r="M12" s="155"/>
      <c r="N12" s="155"/>
      <c r="O12" s="155"/>
      <c r="P12" s="155"/>
      <c r="Q12" s="156"/>
    </row>
    <row r="13" spans="1:38" s="146" customFormat="1" ht="18.5" customHeight="1" thickTop="1" thickBot="1" x14ac:dyDescent="0.4">
      <c r="B13" s="151"/>
      <c r="C13" s="244"/>
      <c r="E13" s="223"/>
      <c r="F13" s="224"/>
      <c r="G13" s="224"/>
      <c r="H13" s="225"/>
      <c r="I13" s="152"/>
      <c r="J13" s="210" t="s">
        <v>28</v>
      </c>
      <c r="K13" s="211"/>
      <c r="L13" s="212"/>
      <c r="M13" s="149"/>
      <c r="N13" s="210" t="s">
        <v>95</v>
      </c>
      <c r="O13" s="211"/>
      <c r="P13" s="212"/>
      <c r="Q13" s="153"/>
    </row>
    <row r="14" spans="1:38" ht="19" customHeight="1" thickTop="1" thickBot="1" x14ac:dyDescent="0.4">
      <c r="B14" s="154"/>
      <c r="C14" s="244"/>
      <c r="E14" s="223"/>
      <c r="F14" s="224"/>
      <c r="G14" s="224"/>
      <c r="H14" s="225"/>
      <c r="I14" s="155"/>
      <c r="J14" s="213" t="str">
        <f>IFERROR(INDEX('Data DSNV'!G:G,MATCH(C11,'Data DSNV'!C:C,0),1),"")</f>
        <v>00. Ban Giám đốc</v>
      </c>
      <c r="K14" s="214"/>
      <c r="L14" s="215"/>
      <c r="M14" s="149"/>
      <c r="N14" s="216" t="str">
        <f>IFERROR(INDEX('Data DSNV'!I:I,MATCH(C11,'Data DSNV'!C:C,0),1),"")</f>
        <v>Thành viên Ban Giám đốc</v>
      </c>
      <c r="O14" s="217"/>
      <c r="P14" s="218"/>
      <c r="Q14" s="156"/>
    </row>
    <row r="15" spans="1:38" ht="14" customHeight="1" thickTop="1" thickBot="1" x14ac:dyDescent="0.4">
      <c r="B15" s="154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6"/>
    </row>
    <row r="16" spans="1:38" ht="14" customHeight="1" thickTop="1" thickBot="1" x14ac:dyDescent="0.4">
      <c r="B16" s="15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56"/>
    </row>
    <row r="17" spans="2:17" ht="31" customHeight="1" thickTop="1" thickBot="1" x14ac:dyDescent="0.4">
      <c r="B17" s="154"/>
      <c r="C17" s="226" t="s">
        <v>492</v>
      </c>
      <c r="D17" s="227"/>
      <c r="E17" s="227"/>
      <c r="F17" s="227"/>
      <c r="G17" s="227"/>
      <c r="H17" s="227"/>
      <c r="I17" s="227"/>
      <c r="J17" s="227"/>
      <c r="K17" s="228"/>
      <c r="L17" s="155"/>
      <c r="M17" s="155"/>
      <c r="N17" s="155"/>
      <c r="O17" s="155"/>
      <c r="P17" s="155"/>
      <c r="Q17" s="156"/>
    </row>
    <row r="18" spans="2:17" ht="9.5" customHeight="1" thickTop="1" thickBot="1" x14ac:dyDescent="0.4">
      <c r="B18" s="154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6"/>
    </row>
    <row r="19" spans="2:17" ht="37" thickTop="1" thickBot="1" x14ac:dyDescent="0.4">
      <c r="B19" s="154"/>
      <c r="C19" s="185" t="s">
        <v>27</v>
      </c>
      <c r="D19" s="229" t="s">
        <v>486</v>
      </c>
      <c r="E19" s="210" t="str">
        <f>"Phép năm " &amp; O5-1 &amp; " mang sang"</f>
        <v>Phép năm 2019 mang sang</v>
      </c>
      <c r="F19" s="212"/>
      <c r="G19" s="229" t="s">
        <v>486</v>
      </c>
      <c r="H19" s="185" t="str">
        <f>"Phép " &amp; O5 &amp; " đến hiện tại"</f>
        <v>Phép 2020 đến hiện tại</v>
      </c>
      <c r="I19" s="229" t="s">
        <v>487</v>
      </c>
      <c r="J19" s="210" t="s">
        <v>11</v>
      </c>
      <c r="K19" s="212"/>
      <c r="L19" s="155"/>
      <c r="M19" s="155"/>
      <c r="N19" s="155"/>
      <c r="O19" s="155"/>
      <c r="P19" s="155"/>
      <c r="Q19" s="156"/>
    </row>
    <row r="20" spans="2:17" s="176" customFormat="1" ht="35.5" customHeight="1" thickTop="1" thickBot="1" x14ac:dyDescent="0.4">
      <c r="B20" s="173"/>
      <c r="C20" s="186">
        <f ca="1">IFERROR(INDEX('Phép 2020'!K:K,MATCH(DBoard!$C$11,'Phép 2020'!$D:$D,0),1),"")</f>
        <v>0</v>
      </c>
      <c r="D20" s="230"/>
      <c r="E20" s="233">
        <f>IFERROR(INDEX('Phép 2020'!M:M,MATCH(DBoard!$C$11,'Phép 2020'!$D:$D,0),1),"")</f>
        <v>0</v>
      </c>
      <c r="F20" s="234"/>
      <c r="G20" s="230"/>
      <c r="H20" s="186">
        <f ca="1">IFERROR(INDEX('Phép 2020'!N:N,MATCH(DBoard!$C$11,'Phép 2020'!$D:$D,0),1),"")</f>
        <v>6</v>
      </c>
      <c r="I20" s="230"/>
      <c r="J20" s="245">
        <f ca="1">IFERROR(C20+E20+H20,"")</f>
        <v>6</v>
      </c>
      <c r="K20" s="246"/>
      <c r="L20" s="174"/>
      <c r="M20" s="174"/>
      <c r="N20" s="174"/>
      <c r="O20" s="174"/>
      <c r="P20" s="174"/>
      <c r="Q20" s="175"/>
    </row>
    <row r="21" spans="2:17" ht="14" customHeight="1" thickTop="1" thickBot="1" x14ac:dyDescent="0.4">
      <c r="B21" s="154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6"/>
    </row>
    <row r="22" spans="2:17" ht="14" customHeight="1" thickTop="1" thickBot="1" x14ac:dyDescent="0.4">
      <c r="B22" s="15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56"/>
    </row>
    <row r="23" spans="2:17" ht="37" customHeight="1" thickTop="1" thickBot="1" x14ac:dyDescent="0.4">
      <c r="B23" s="154"/>
      <c r="C23" s="226" t="s">
        <v>493</v>
      </c>
      <c r="D23" s="227"/>
      <c r="E23" s="227"/>
      <c r="F23" s="227"/>
      <c r="G23" s="227"/>
      <c r="H23" s="227"/>
      <c r="I23" s="227"/>
      <c r="J23" s="227"/>
      <c r="K23" s="228"/>
      <c r="Q23" s="156"/>
    </row>
    <row r="24" spans="2:17" ht="7" customHeight="1" thickTop="1" thickBot="1" x14ac:dyDescent="0.4">
      <c r="B24" s="154"/>
      <c r="Q24" s="156"/>
    </row>
    <row r="25" spans="2:17" ht="43" customHeight="1" thickTop="1" thickBot="1" x14ac:dyDescent="0.4">
      <c r="B25" s="154"/>
      <c r="C25" s="237" t="s">
        <v>489</v>
      </c>
      <c r="D25" s="238"/>
      <c r="E25" s="239"/>
      <c r="F25" s="229" t="s">
        <v>486</v>
      </c>
      <c r="G25" s="210" t="s">
        <v>490</v>
      </c>
      <c r="H25" s="212"/>
      <c r="I25" s="229" t="s">
        <v>487</v>
      </c>
      <c r="J25" s="210" t="s">
        <v>488</v>
      </c>
      <c r="K25" s="212"/>
      <c r="Q25" s="156"/>
    </row>
    <row r="26" spans="2:17" ht="36" customHeight="1" thickTop="1" thickBot="1" x14ac:dyDescent="0.4">
      <c r="B26" s="154"/>
      <c r="C26" s="231">
        <f>IFERROR(INDEX('Phép 2020'!AB:AB,MATCH(DBoard!$C$11,'Phép 2020'!$D:$D,0),1),"")</f>
        <v>3</v>
      </c>
      <c r="D26" s="240"/>
      <c r="E26" s="232"/>
      <c r="F26" s="230"/>
      <c r="G26" s="231">
        <f>IFERROR(INDEX('Phép 2020'!AC:AC,MATCH(DBoard!$C$11,'Phép 2020'!$D:$D,0),1),"")</f>
        <v>1</v>
      </c>
      <c r="H26" s="232"/>
      <c r="I26" s="230"/>
      <c r="J26" s="242">
        <f>IFERROR(C26+G26,"")</f>
        <v>4</v>
      </c>
      <c r="K26" s="243"/>
      <c r="L26" s="155"/>
      <c r="M26" s="155"/>
      <c r="N26" s="155"/>
      <c r="O26" s="155"/>
      <c r="P26" s="155"/>
      <c r="Q26" s="156"/>
    </row>
    <row r="27" spans="2:17" ht="14" customHeight="1" thickTop="1" thickBot="1" x14ac:dyDescent="0.4">
      <c r="B27" s="154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6"/>
    </row>
    <row r="28" spans="2:17" ht="14" customHeight="1" thickTop="1" thickBot="1" x14ac:dyDescent="0.4">
      <c r="B28" s="15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56"/>
    </row>
    <row r="29" spans="2:17" ht="32" customHeight="1" thickTop="1" thickBot="1" x14ac:dyDescent="0.4">
      <c r="B29" s="154"/>
      <c r="C29" s="226" t="s">
        <v>494</v>
      </c>
      <c r="D29" s="227"/>
      <c r="E29" s="227"/>
      <c r="F29" s="227"/>
      <c r="G29" s="227"/>
      <c r="H29" s="227"/>
      <c r="I29" s="227"/>
      <c r="J29" s="227"/>
      <c r="K29" s="228"/>
      <c r="L29" s="155"/>
      <c r="M29" s="155"/>
      <c r="N29" s="155"/>
      <c r="O29" s="155"/>
      <c r="P29" s="155"/>
      <c r="Q29" s="156"/>
    </row>
    <row r="30" spans="2:17" ht="8.5" customHeight="1" thickTop="1" thickBot="1" x14ac:dyDescent="0.4">
      <c r="B30" s="154"/>
      <c r="L30" s="155"/>
      <c r="M30" s="155"/>
      <c r="N30" s="155"/>
      <c r="O30" s="155"/>
      <c r="P30" s="155"/>
      <c r="Q30" s="156"/>
    </row>
    <row r="31" spans="2:17" ht="48.5" customHeight="1" thickTop="1" thickBot="1" x14ac:dyDescent="0.4">
      <c r="B31" s="154"/>
      <c r="C31" s="210" t="str">
        <f>"Phép năm "&amp; O5-1 &amp; " còn lại (Clear khi hết tháng gia hạn phép)"</f>
        <v>Phép năm 2019 còn lại (Clear khi hết tháng gia hạn phép)</v>
      </c>
      <c r="D31" s="211"/>
      <c r="E31" s="211"/>
      <c r="F31" s="212"/>
      <c r="G31" s="229" t="str">
        <f>IF(AND(INDEX('Phép 2020'!AI:AI,MATCH(DBoard!C11,'Phép 2020'!D:D,0),1)&lt;&gt;"",DBoard!P5&lt;=INDEX('Phép 2020'!AI:AI,MATCH(DBoard!C11,'Phép 2020'!D:D,0),1)),"+","")</f>
        <v/>
      </c>
      <c r="H31" s="185" t="str">
        <f>"Phép năm " &amp; O5&amp;" còn lại"</f>
        <v>Phép năm 2020 còn lại</v>
      </c>
      <c r="I31" s="229" t="s">
        <v>487</v>
      </c>
      <c r="J31" s="210" t="s">
        <v>16</v>
      </c>
      <c r="K31" s="212"/>
      <c r="L31" s="155"/>
      <c r="M31" s="155"/>
      <c r="N31" s="155"/>
      <c r="O31" s="155"/>
      <c r="P31" s="155"/>
      <c r="Q31" s="156"/>
    </row>
    <row r="32" spans="2:17" s="180" customFormat="1" ht="35.5" customHeight="1" thickTop="1" thickBot="1" x14ac:dyDescent="0.4">
      <c r="B32" s="177"/>
      <c r="C32" s="235">
        <f>IFERROR(INDEX('Phép 2020'!AD:AD,MATCH(DBoard!$C$11,'Phép 2020'!$D:$D,0),1),"")</f>
        <v>0</v>
      </c>
      <c r="D32" s="241"/>
      <c r="E32" s="241"/>
      <c r="F32" s="236"/>
      <c r="G32" s="230"/>
      <c r="H32" s="187">
        <f ca="1">IFERROR(INDEX('Phép 2020'!AE:AE,MATCH(DBoard!$C$11,'Phép 2020'!$D:$D,0),1),"")</f>
        <v>2</v>
      </c>
      <c r="I32" s="230"/>
      <c r="J32" s="235">
        <f ca="1">IFERROR(INDEX('Phép 2020'!AF:AF,MATCH(DBoard!$C$11,'Phép 2020'!$D:$D,0),1),"")</f>
        <v>2</v>
      </c>
      <c r="K32" s="236"/>
      <c r="L32" s="178"/>
      <c r="M32" s="178"/>
      <c r="N32" s="178"/>
      <c r="O32" s="178"/>
      <c r="P32" s="178"/>
      <c r="Q32" s="179"/>
    </row>
    <row r="33" spans="2:17" ht="15.5" thickTop="1" thickBot="1" x14ac:dyDescent="0.4">
      <c r="B33" s="157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9"/>
    </row>
    <row r="34" spans="2:17" ht="15" thickTop="1" x14ac:dyDescent="0.35"/>
  </sheetData>
  <mergeCells count="39">
    <mergeCell ref="C17:K17"/>
    <mergeCell ref="J19:K19"/>
    <mergeCell ref="J20:K20"/>
    <mergeCell ref="C26:E26"/>
    <mergeCell ref="I25:I26"/>
    <mergeCell ref="C32:F32"/>
    <mergeCell ref="J25:K25"/>
    <mergeCell ref="J26:K26"/>
    <mergeCell ref="C23:K23"/>
    <mergeCell ref="D19:D20"/>
    <mergeCell ref="G19:G20"/>
    <mergeCell ref="I19:I20"/>
    <mergeCell ref="C31:F31"/>
    <mergeCell ref="G31:G32"/>
    <mergeCell ref="I31:I32"/>
    <mergeCell ref="C29:K29"/>
    <mergeCell ref="J31:K31"/>
    <mergeCell ref="F25:F26"/>
    <mergeCell ref="G25:H25"/>
    <mergeCell ref="G26:H26"/>
    <mergeCell ref="E19:F19"/>
    <mergeCell ref="E20:F20"/>
    <mergeCell ref="J32:K32"/>
    <mergeCell ref="C25:E25"/>
    <mergeCell ref="B2:Q2"/>
    <mergeCell ref="J13:L13"/>
    <mergeCell ref="J14:L14"/>
    <mergeCell ref="N13:P13"/>
    <mergeCell ref="N14:P14"/>
    <mergeCell ref="E4:F4"/>
    <mergeCell ref="E5:F5"/>
    <mergeCell ref="E10:H10"/>
    <mergeCell ref="E11:H14"/>
    <mergeCell ref="B8:Q8"/>
    <mergeCell ref="N10:P10"/>
    <mergeCell ref="N11:P11"/>
    <mergeCell ref="J10:L10"/>
    <mergeCell ref="J11:L11"/>
    <mergeCell ref="C11:C14"/>
  </mergeCells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203330A-DA34-4194-83BD-A6ADE90C5632}">
          <x14:formula1>
            <xm:f>'DB''s Data'!$B$7:$B$18</xm:f>
          </x14:formula1>
          <xm:sqref>N5</xm:sqref>
        </x14:dataValidation>
        <x14:dataValidation type="list" allowBlank="1" showInputMessage="1" showErrorMessage="1" xr:uid="{0A2D167D-4C53-4348-8383-0F69264A310A}">
          <x14:formula1>
            <xm:f>'DB''s Data'!$A$7:$A$10</xm:f>
          </x14:formula1>
          <xm:sqref>O5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4CF5D-69FB-400B-A692-AA1DF9C2B038}">
  <sheetPr>
    <tabColor rgb="FF00B0F0"/>
  </sheetPr>
  <dimension ref="A1:M18"/>
  <sheetViews>
    <sheetView workbookViewId="0">
      <selection activeCell="D9" sqref="D9"/>
    </sheetView>
  </sheetViews>
  <sheetFormatPr defaultRowHeight="14.5" x14ac:dyDescent="0.35"/>
  <sheetData>
    <row r="1" spans="1:13" x14ac:dyDescent="0.35">
      <c r="A1">
        <f>YEAR(DBoard!C5)</f>
        <v>2020</v>
      </c>
    </row>
    <row r="2" spans="1:13" x14ac:dyDescent="0.35">
      <c r="A2" s="182"/>
      <c r="B2" s="183" t="str">
        <f>"01"&amp;"/"&amp;$A$1</f>
        <v>01/2020</v>
      </c>
      <c r="C2" s="183" t="str">
        <f>"02"&amp;"/"&amp;$A$1</f>
        <v>02/2020</v>
      </c>
      <c r="D2" s="183" t="str">
        <f>"03"&amp;"/"&amp;$A$1</f>
        <v>03/2020</v>
      </c>
      <c r="E2" s="183" t="str">
        <f>"04"&amp;"/"&amp;$A$1</f>
        <v>04/2020</v>
      </c>
      <c r="F2" s="183" t="str">
        <f>"05"&amp;"/"&amp;$A$1</f>
        <v>05/2020</v>
      </c>
      <c r="G2" s="183" t="str">
        <f>"06"&amp;"/"&amp;$A$1</f>
        <v>06/2020</v>
      </c>
      <c r="H2" s="183" t="str">
        <f>"07"&amp;"/"&amp;$A$1</f>
        <v>07/2020</v>
      </c>
      <c r="I2" s="183" t="str">
        <f>"08"&amp;"/"&amp;$A$1</f>
        <v>08/2020</v>
      </c>
      <c r="J2" s="183" t="str">
        <f>"09"&amp;"/"&amp;$A$1</f>
        <v>09/2020</v>
      </c>
      <c r="K2" s="183" t="str">
        <f>"10"&amp;"/"&amp;$A$1</f>
        <v>10/2020</v>
      </c>
      <c r="L2" s="183" t="str">
        <f>"11"&amp;"/"&amp;$A$1</f>
        <v>11/2020</v>
      </c>
      <c r="M2" s="183" t="str">
        <f>"12"&amp;"/"&amp;$A$1</f>
        <v>12/2020</v>
      </c>
    </row>
    <row r="3" spans="1:13" x14ac:dyDescent="0.35">
      <c r="A3" s="184" t="str">
        <f>DBoard!C11</f>
        <v>0001</v>
      </c>
      <c r="B3" s="182">
        <f>INDEX('Phép 2020'!P:P,MATCH('DB''s Data'!$A$3,'Phép 2020'!$D:$D,0),1)</f>
        <v>1</v>
      </c>
      <c r="C3" s="182">
        <f>INDEX('Phép 2020'!Q:Q,MATCH('DB''s Data'!$A$3,'Phép 2020'!$D:$D,0),1)</f>
        <v>1</v>
      </c>
      <c r="D3" s="182">
        <f>INDEX('Phép 2020'!R:R,MATCH('DB''s Data'!$A$3,'Phép 2020'!$D:$D,0),1)</f>
        <v>0</v>
      </c>
      <c r="E3" s="182">
        <f>INDEX('Phép 2020'!S:S,MATCH('DB''s Data'!$A$3,'Phép 2020'!$D:$D,0),1)</f>
        <v>1</v>
      </c>
      <c r="F3" s="182">
        <f>INDEX('Phép 2020'!T:T,MATCH('DB''s Data'!$A$3,'Phép 2020'!$D:$D,0),1)</f>
        <v>0</v>
      </c>
      <c r="G3" s="182">
        <f>INDEX('Phép 2020'!U:U,MATCH('DB''s Data'!$A$3,'Phép 2020'!$D:$D,0),1)</f>
        <v>1</v>
      </c>
      <c r="H3" s="182">
        <f>INDEX('Phép 2020'!V:V,MATCH('DB''s Data'!$A$3,'Phép 2020'!$D:$D,0),1)</f>
        <v>0</v>
      </c>
      <c r="I3" s="182">
        <f>INDEX('Phép 2020'!W:W,MATCH('DB''s Data'!$A$3,'Phép 2020'!$D:$D,0),1)</f>
        <v>0</v>
      </c>
      <c r="J3" s="182">
        <f>INDEX('Phép 2020'!X:X,MATCH('DB''s Data'!$A$3,'Phép 2020'!$D:$D,0),1)</f>
        <v>0</v>
      </c>
      <c r="K3" s="182">
        <f>INDEX('Phép 2020'!Y:Y,MATCH('DB''s Data'!$A$3,'Phép 2020'!$D:$D,0),1)</f>
        <v>0</v>
      </c>
      <c r="L3" s="182">
        <f>INDEX('Phép 2020'!Z:Z,MATCH('DB''s Data'!$A$3,'Phép 2020'!$D:$D,0),1)</f>
        <v>0</v>
      </c>
      <c r="M3" s="182">
        <f>INDEX('Phép 2020'!AA:AA,MATCH('DB''s Data'!$A$3,'Phép 2020'!$D:$D,0),1)</f>
        <v>0</v>
      </c>
    </row>
    <row r="6" spans="1:13" x14ac:dyDescent="0.35">
      <c r="A6" t="s">
        <v>75</v>
      </c>
      <c r="B6" t="s">
        <v>495</v>
      </c>
    </row>
    <row r="7" spans="1:13" x14ac:dyDescent="0.35">
      <c r="A7">
        <v>2019</v>
      </c>
      <c r="B7">
        <v>1</v>
      </c>
    </row>
    <row r="8" spans="1:13" x14ac:dyDescent="0.35">
      <c r="A8">
        <v>2020</v>
      </c>
      <c r="B8">
        <v>2</v>
      </c>
    </row>
    <row r="9" spans="1:13" x14ac:dyDescent="0.35">
      <c r="A9">
        <v>2021</v>
      </c>
      <c r="B9">
        <v>3</v>
      </c>
    </row>
    <row r="10" spans="1:13" x14ac:dyDescent="0.35">
      <c r="A10">
        <v>2022</v>
      </c>
      <c r="B10">
        <v>4</v>
      </c>
    </row>
    <row r="11" spans="1:13" x14ac:dyDescent="0.35">
      <c r="B11">
        <v>5</v>
      </c>
    </row>
    <row r="12" spans="1:13" x14ac:dyDescent="0.35">
      <c r="B12">
        <v>6</v>
      </c>
    </row>
    <row r="13" spans="1:13" x14ac:dyDescent="0.35">
      <c r="B13">
        <v>7</v>
      </c>
    </row>
    <row r="14" spans="1:13" x14ac:dyDescent="0.35">
      <c r="B14">
        <v>8</v>
      </c>
    </row>
    <row r="15" spans="1:13" x14ac:dyDescent="0.35">
      <c r="B15">
        <v>9</v>
      </c>
    </row>
    <row r="16" spans="1:13" x14ac:dyDescent="0.35">
      <c r="B16">
        <v>10</v>
      </c>
    </row>
    <row r="17" spans="2:2" x14ac:dyDescent="0.35">
      <c r="B17">
        <v>11</v>
      </c>
    </row>
    <row r="18" spans="2:2" x14ac:dyDescent="0.35">
      <c r="B18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P38"/>
  <sheetViews>
    <sheetView zoomScale="85" zoomScaleNormal="85" workbookViewId="0">
      <selection activeCell="H16" sqref="H16"/>
    </sheetView>
  </sheetViews>
  <sheetFormatPr defaultColWidth="9.1796875" defaultRowHeight="14" x14ac:dyDescent="0.3"/>
  <cols>
    <col min="1" max="1" width="6" style="24" customWidth="1"/>
    <col min="2" max="2" width="16.81640625" style="25" customWidth="1"/>
    <col min="3" max="3" width="13.81640625" style="25" bestFit="1" customWidth="1"/>
    <col min="4" max="4" width="12.26953125" style="26" customWidth="1"/>
    <col min="5" max="6" width="23.1796875" style="25" customWidth="1"/>
    <col min="7" max="8" width="14.54296875" style="24" customWidth="1"/>
    <col min="9" max="9" width="9.54296875" style="40" customWidth="1"/>
    <col min="10" max="10" width="11.7265625" style="30" customWidth="1"/>
    <col min="11" max="11" width="10.7265625" style="24" customWidth="1"/>
    <col min="12" max="12" width="12.453125" style="24" customWidth="1"/>
    <col min="13" max="13" width="13.54296875" style="24" customWidth="1"/>
    <col min="14" max="14" width="16.26953125" style="24" customWidth="1"/>
    <col min="15" max="15" width="13.453125" style="24" customWidth="1"/>
    <col min="16" max="16" width="12.453125" style="24" customWidth="1"/>
    <col min="17" max="17" width="11.7265625" style="24" customWidth="1"/>
    <col min="18" max="27" width="7.26953125" style="24" customWidth="1"/>
    <col min="28" max="29" width="16.453125" style="24" customWidth="1"/>
    <col min="30" max="30" width="19" style="24" customWidth="1"/>
    <col min="31" max="31" width="11.54296875" style="24" customWidth="1"/>
    <col min="32" max="34" width="10.81640625" style="24" customWidth="1"/>
    <col min="35" max="35" width="9.7265625" style="24" customWidth="1"/>
    <col min="36" max="36" width="36.7265625" style="24" bestFit="1" customWidth="1"/>
    <col min="37" max="37" width="10.7265625" style="24" bestFit="1" customWidth="1"/>
    <col min="38" max="38" width="11.1796875" style="24" customWidth="1"/>
    <col min="39" max="39" width="39" style="24" customWidth="1"/>
    <col min="40" max="40" width="12" style="24" bestFit="1" customWidth="1"/>
    <col min="41" max="16384" width="9.1796875" style="24"/>
  </cols>
  <sheetData>
    <row r="1" spans="1:42" ht="30" x14ac:dyDescent="0.3">
      <c r="A1" s="247" t="s">
        <v>52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5"/>
      <c r="M1" s="26"/>
      <c r="N1" s="25"/>
      <c r="O1" s="26"/>
      <c r="P1" s="26"/>
      <c r="Q1" s="25"/>
      <c r="R1" s="26"/>
      <c r="S1" s="25"/>
      <c r="T1" s="26"/>
      <c r="U1" s="25"/>
      <c r="V1" s="26"/>
      <c r="W1" s="25"/>
      <c r="X1" s="26"/>
      <c r="Y1" s="25"/>
      <c r="Z1" s="26"/>
      <c r="AA1" s="25"/>
      <c r="AB1" s="25"/>
      <c r="AC1" s="26"/>
      <c r="AD1" s="26"/>
      <c r="AE1" s="25"/>
      <c r="AF1" s="26"/>
      <c r="AG1" s="25"/>
      <c r="AH1" s="26"/>
      <c r="AI1" s="25"/>
      <c r="AJ1" s="26"/>
      <c r="AK1" s="25"/>
      <c r="AL1" s="26"/>
      <c r="AM1" s="25"/>
      <c r="AN1" s="26"/>
      <c r="AO1" s="25"/>
      <c r="AP1" s="26"/>
    </row>
    <row r="2" spans="1:42" s="1" customFormat="1" ht="28" x14ac:dyDescent="0.3">
      <c r="B2" s="3"/>
      <c r="C2" s="3"/>
      <c r="D2" s="4"/>
      <c r="E2" s="3"/>
      <c r="F2" s="3"/>
      <c r="I2" s="38"/>
      <c r="J2" s="27"/>
      <c r="P2" s="2">
        <v>1</v>
      </c>
      <c r="Q2" s="2">
        <v>2</v>
      </c>
      <c r="R2" s="2">
        <v>3</v>
      </c>
      <c r="S2" s="2">
        <v>4</v>
      </c>
      <c r="T2" s="2">
        <v>5</v>
      </c>
      <c r="U2" s="2">
        <v>6</v>
      </c>
      <c r="V2" s="2">
        <v>7</v>
      </c>
      <c r="W2" s="2">
        <v>8</v>
      </c>
      <c r="X2" s="2">
        <v>9</v>
      </c>
      <c r="Y2" s="2">
        <v>10</v>
      </c>
      <c r="Z2" s="2">
        <v>11</v>
      </c>
      <c r="AA2" s="2">
        <v>12</v>
      </c>
      <c r="AF2" s="5" t="s">
        <v>18</v>
      </c>
      <c r="AI2" s="25"/>
    </row>
    <row r="3" spans="1:42" s="2" customFormat="1" x14ac:dyDescent="0.35">
      <c r="A3" s="6" t="s">
        <v>257</v>
      </c>
      <c r="B3" s="6" t="s">
        <v>257</v>
      </c>
      <c r="C3" s="6" t="s">
        <v>257</v>
      </c>
      <c r="D3" s="50" t="s">
        <v>98</v>
      </c>
      <c r="E3" s="6" t="s">
        <v>257</v>
      </c>
      <c r="F3" s="6" t="s">
        <v>257</v>
      </c>
      <c r="G3" s="6" t="s">
        <v>257</v>
      </c>
      <c r="H3" s="6" t="s">
        <v>257</v>
      </c>
      <c r="I3" s="6" t="s">
        <v>257</v>
      </c>
      <c r="J3" s="6" t="s">
        <v>257</v>
      </c>
      <c r="K3" s="6" t="s">
        <v>257</v>
      </c>
      <c r="L3" s="6" t="s">
        <v>257</v>
      </c>
      <c r="M3" s="50" t="s">
        <v>98</v>
      </c>
      <c r="N3" s="6" t="s">
        <v>257</v>
      </c>
      <c r="O3" s="6" t="s">
        <v>257</v>
      </c>
      <c r="P3" s="50" t="s">
        <v>98</v>
      </c>
      <c r="Q3" s="50" t="s">
        <v>98</v>
      </c>
      <c r="R3" s="50" t="s">
        <v>98</v>
      </c>
      <c r="S3" s="50" t="s">
        <v>98</v>
      </c>
      <c r="T3" s="50" t="s">
        <v>98</v>
      </c>
      <c r="U3" s="50" t="s">
        <v>98</v>
      </c>
      <c r="V3" s="50" t="s">
        <v>98</v>
      </c>
      <c r="W3" s="50" t="s">
        <v>98</v>
      </c>
      <c r="X3" s="50" t="s">
        <v>98</v>
      </c>
      <c r="Y3" s="50" t="s">
        <v>98</v>
      </c>
      <c r="Z3" s="50" t="s">
        <v>98</v>
      </c>
      <c r="AA3" s="50" t="s">
        <v>98</v>
      </c>
      <c r="AB3" s="6" t="s">
        <v>99</v>
      </c>
      <c r="AC3" s="6" t="s">
        <v>99</v>
      </c>
      <c r="AD3" s="6" t="s">
        <v>99</v>
      </c>
      <c r="AE3" s="6" t="s">
        <v>99</v>
      </c>
      <c r="AF3" s="6" t="s">
        <v>99</v>
      </c>
      <c r="AG3" s="50" t="s">
        <v>98</v>
      </c>
      <c r="AH3" s="6" t="s">
        <v>99</v>
      </c>
      <c r="AI3" s="50" t="s">
        <v>98</v>
      </c>
      <c r="AJ3" s="50" t="s">
        <v>98</v>
      </c>
      <c r="AK3" s="6" t="s">
        <v>99</v>
      </c>
      <c r="AL3" s="50" t="s">
        <v>98</v>
      </c>
      <c r="AM3" s="50" t="s">
        <v>98</v>
      </c>
      <c r="AN3" s="50" t="s">
        <v>98</v>
      </c>
    </row>
    <row r="4" spans="1:42" s="27" customFormat="1" x14ac:dyDescent="0.3">
      <c r="B4" s="43"/>
      <c r="C4" s="43"/>
      <c r="D4" s="44"/>
      <c r="E4" s="43"/>
      <c r="F4" s="43"/>
      <c r="K4" s="45"/>
      <c r="L4" s="27">
        <f t="shared" ref="L4:AH4" ca="1" si="0">SUBTOTAL(9,L6:L28)</f>
        <v>254</v>
      </c>
      <c r="M4" s="27">
        <f t="shared" si="0"/>
        <v>0</v>
      </c>
      <c r="N4" s="27">
        <f t="shared" ca="1" si="0"/>
        <v>134</v>
      </c>
      <c r="O4" s="27">
        <f t="shared" ca="1" si="0"/>
        <v>134</v>
      </c>
      <c r="P4" s="27">
        <f t="shared" si="0"/>
        <v>1</v>
      </c>
      <c r="Q4" s="27">
        <f t="shared" si="0"/>
        <v>1</v>
      </c>
      <c r="R4" s="27">
        <f t="shared" si="0"/>
        <v>0</v>
      </c>
      <c r="S4" s="27">
        <f t="shared" si="0"/>
        <v>1</v>
      </c>
      <c r="T4" s="27">
        <f t="shared" si="0"/>
        <v>0</v>
      </c>
      <c r="U4" s="27">
        <f t="shared" si="0"/>
        <v>1</v>
      </c>
      <c r="V4" s="27">
        <f t="shared" si="0"/>
        <v>0</v>
      </c>
      <c r="W4" s="27">
        <f t="shared" si="0"/>
        <v>0</v>
      </c>
      <c r="X4" s="27">
        <f t="shared" si="0"/>
        <v>0</v>
      </c>
      <c r="Y4" s="27">
        <f t="shared" si="0"/>
        <v>0</v>
      </c>
      <c r="Z4" s="27">
        <f t="shared" si="0"/>
        <v>0</v>
      </c>
      <c r="AA4" s="27">
        <f t="shared" si="0"/>
        <v>0</v>
      </c>
      <c r="AB4" s="27">
        <f t="shared" si="0"/>
        <v>3</v>
      </c>
      <c r="AC4" s="27">
        <f t="shared" si="0"/>
        <v>1</v>
      </c>
      <c r="AD4" s="27">
        <f t="shared" si="0"/>
        <v>0</v>
      </c>
      <c r="AE4" s="27">
        <f t="shared" ca="1" si="0"/>
        <v>130</v>
      </c>
      <c r="AF4" s="27">
        <f t="shared" ca="1" si="0"/>
        <v>130</v>
      </c>
      <c r="AG4" s="27">
        <f t="shared" si="0"/>
        <v>0</v>
      </c>
      <c r="AH4" s="27">
        <f t="shared" ca="1" si="0"/>
        <v>130</v>
      </c>
    </row>
    <row r="5" spans="1:42" s="14" customFormat="1" ht="39" x14ac:dyDescent="0.3">
      <c r="A5" s="35" t="s">
        <v>0</v>
      </c>
      <c r="B5" s="35" t="s">
        <v>28</v>
      </c>
      <c r="C5" s="35" t="s">
        <v>57</v>
      </c>
      <c r="D5" s="35" t="s">
        <v>1</v>
      </c>
      <c r="E5" s="46" t="s">
        <v>2</v>
      </c>
      <c r="F5" s="46" t="s">
        <v>95</v>
      </c>
      <c r="G5" s="46" t="s">
        <v>3</v>
      </c>
      <c r="H5" s="36" t="s">
        <v>63</v>
      </c>
      <c r="I5" s="28" t="s">
        <v>51</v>
      </c>
      <c r="J5" s="28" t="s">
        <v>64</v>
      </c>
      <c r="K5" s="7" t="s">
        <v>27</v>
      </c>
      <c r="L5" s="8" t="str">
        <f>"Phép " &amp;DBoard!O5&amp; " được hưởng tối đa"</f>
        <v>Phép 2020 được hưởng tối đa</v>
      </c>
      <c r="M5" s="9" t="str">
        <f>"Phép năm "&amp;(DBoard!O5-1) &amp; " mang sang"</f>
        <v>Phép năm 2019 mang sang</v>
      </c>
      <c r="N5" s="10" t="str">
        <f>"Phép "&amp;DBoard!O5&amp;" đến hiện tại"</f>
        <v>Phép 2020 đến hiện tại</v>
      </c>
      <c r="O5" s="11" t="s">
        <v>11</v>
      </c>
      <c r="P5" s="12" t="s">
        <v>19</v>
      </c>
      <c r="Q5" s="12" t="s">
        <v>20</v>
      </c>
      <c r="R5" s="12" t="s">
        <v>21</v>
      </c>
      <c r="S5" s="12" t="s">
        <v>22</v>
      </c>
      <c r="T5" s="12" t="s">
        <v>23</v>
      </c>
      <c r="U5" s="12" t="s">
        <v>24</v>
      </c>
      <c r="V5" s="12" t="s">
        <v>25</v>
      </c>
      <c r="W5" s="12" t="s">
        <v>26</v>
      </c>
      <c r="X5" s="12" t="s">
        <v>12</v>
      </c>
      <c r="Y5" s="12" t="s">
        <v>13</v>
      </c>
      <c r="Z5" s="12" t="s">
        <v>14</v>
      </c>
      <c r="AA5" s="12" t="s">
        <v>15</v>
      </c>
      <c r="AB5" s="32" t="s">
        <v>96</v>
      </c>
      <c r="AC5" s="32" t="s">
        <v>97</v>
      </c>
      <c r="AD5" s="51" t="str">
        <f>"Phép năm " &amp;(DBoard!O5-1) &amp; " còn lại (Clear khi hết tháng gia hạn phép)"</f>
        <v>Phép năm 2019 còn lại (Clear khi hết tháng gia hạn phép)</v>
      </c>
      <c r="AE5" s="52" t="str">
        <f>"Phép năm " &amp;DBoard!O5&amp; " còn lại"</f>
        <v>Phép năm 2020 còn lại</v>
      </c>
      <c r="AF5" s="34" t="s">
        <v>16</v>
      </c>
      <c r="AG5" s="13" t="s">
        <v>71</v>
      </c>
      <c r="AH5" s="13" t="s">
        <v>72</v>
      </c>
      <c r="AI5" s="13" t="s">
        <v>65</v>
      </c>
      <c r="AJ5" s="34" t="s">
        <v>56</v>
      </c>
      <c r="AK5" s="34" t="s">
        <v>482</v>
      </c>
      <c r="AL5" s="48" t="s">
        <v>55</v>
      </c>
      <c r="AM5" s="48" t="s">
        <v>483</v>
      </c>
      <c r="AN5" s="48" t="s">
        <v>158</v>
      </c>
    </row>
    <row r="6" spans="1:42" s="23" customFormat="1" ht="14.25" customHeight="1" x14ac:dyDescent="0.3">
      <c r="A6" s="33">
        <f>ROW()-ROW($A$5)</f>
        <v>1</v>
      </c>
      <c r="B6" s="42" t="str">
        <f>INDEX('Data DSNV'!G:G,MATCH('Phép 2020'!D6,'Data DSNV'!C:C,0),1)</f>
        <v>00. Ban Giám đốc</v>
      </c>
      <c r="C6" s="42" t="str">
        <f>INDEX('Data DSNV'!B:B,MATCH('Phép 2020'!D6,'Data DSNV'!C:C,0),1)</f>
        <v>Đang làm việc</v>
      </c>
      <c r="D6" s="47" t="s">
        <v>29</v>
      </c>
      <c r="E6" s="42" t="str">
        <f>INDEX('Data DSNV'!E:E,MATCH('Phép 2020'!D6,'Data DSNV'!C:C,0),1)</f>
        <v>Nguyễn Thu Thủy</v>
      </c>
      <c r="F6" s="140" t="str">
        <f>INDEX('Data DSNV'!I:I,MATCH('Phép 2020'!D6,'Data DSNV'!C:C,0),1)</f>
        <v>Thành viên Ban Giám đốc</v>
      </c>
      <c r="G6" s="16">
        <f>INDEX('Data DSNV'!AI:AI,MATCH('Phép 2020'!D6,'Data DSNV'!C:C,0),1)</f>
        <v>43101</v>
      </c>
      <c r="H6" s="16">
        <f>INDEX('Data DSNV'!AL:AL,MATCH('Phép 2020'!D6,'Data DSNV'!C:C,0),1)</f>
        <v>43161</v>
      </c>
      <c r="I6" s="39">
        <f t="shared" ref="I6:I25" ca="1" si="1">(TODAY()-G6)/365</f>
        <v>2.6958904109589041</v>
      </c>
      <c r="J6" s="29">
        <f t="shared" ref="J6:J25" ca="1" si="2">I6/5</f>
        <v>0.53917808219178087</v>
      </c>
      <c r="K6" s="31">
        <f t="shared" ref="K6:K25" ca="1" si="3">ROUNDDOWN(J6,0)</f>
        <v>0</v>
      </c>
      <c r="L6" s="17">
        <f ca="1">ROUND(IF(G6&lt;=DBoard!$C$5,12,(DBoard!$E$5-G6)/30),0.5)+K6</f>
        <v>12</v>
      </c>
      <c r="M6" s="18"/>
      <c r="N6" s="19">
        <f ca="1">IF(OR(AND(G6&lt;=AL6,AL6&lt;DBoard!$C$5),G6=AL6,AL6=DBoard!$C$5,(AL6-G6)&lt;15,G6&gt;=DBoard!$J$5),0,
IF(OR(AND(G6=DBoard!$H$5,AL6&gt;DBoard!$J$5),AND(G6&gt;DBoard!$H$5,DAY(G6)&lt;15,AL6&gt;=DBoard!$L$5)),1,
IF(AND(G6&lt;=DBoard!$C$5,AL6&lt;DBoard!$H$5,DAY(AL6)&gt;=15),MONTH(AL6),
IF(AND(G6&lt;=DBoard!$C$5,AL6&lt;DBoard!$H$5,DAY(AL6)&lt;15),MONTH(AL6)-1,
IF(AND(G6&lt;=DBoard!$C$5,AL6&gt;DBoard!$J$5),DBoard!$N$5,
IF(AND(G6&lt;=DBoard!$C$5,(AL6-DBoard!$H$5)&lt;15,(AL6-DBoard!$H$5)&gt;=0),DBoard!$N$5-1,
IF(OR(AND(G6&lt;DBoard!$H$5,DAY(G6)&lt;15,AL6&gt;=DBoard!$H$5,DAY(AL6)&lt;15),AND(G6&lt;DBoard!$H$5,DAY(G6)&gt;=15,AL6&gt;DBoard!$J$5)),DBoard!$N$5-MONTH(G6),
IF(AND(G6&lt;DBoard!$H$5,DAY(G6)&lt;15,AL6&gt;DBoard!$J$5),DBoard!$N$5-MONTH(G6)+1,
IF(AND(G6&lt;DBoard!$H$5,DAY(G6)&gt;=15,AL6&gt;=DBoard!$H$5,DAY(AL6)&lt;=15),DBoard!$N$5-MONTH(G6)-1,
IF(AND(G6&lt;DBoard!$H$5,DAY(G6)&lt;15,DAY(AL6)&lt;15,AL6&lt;DBoard!$H$5),MONTH(AL6)-MONTH(G6),
IF(AND(G6&lt;DBoard!$H$5,DAY(G6)&lt;15,DAY(AL6)&gt;=15,AL6&lt;DBoard!$H$5),MONTH(AL6)-MONTH(G6)+1,
IF(AND(G6&lt;DBoard!$H$5,DAY(G6)&gt;=15,DAY(AL6)&lt;15,AL6&lt;DBoard!$H$5),MONTH(AL6)-MONTH(G6)-1,
IF(AND(G6&lt;DBoard!$H$5,DAY(G6)&gt;=15,DAY(AL6)&gt;=15,AL6&lt;DBoard!$H$5),MONTH(AL6)-MONTH(G6),
0)))))))))))))+K6</f>
        <v>6</v>
      </c>
      <c r="O6" s="20">
        <f t="shared" ref="O6:O25" ca="1" si="4">M6+N6</f>
        <v>6</v>
      </c>
      <c r="P6" s="21">
        <v>1</v>
      </c>
      <c r="Q6" s="21">
        <v>1</v>
      </c>
      <c r="R6" s="21"/>
      <c r="S6" s="21">
        <v>1</v>
      </c>
      <c r="T6" s="21"/>
      <c r="U6" s="17">
        <v>1</v>
      </c>
      <c r="V6" s="17"/>
      <c r="W6" s="17"/>
      <c r="X6" s="17"/>
      <c r="Y6" s="17"/>
      <c r="Z6" s="17"/>
      <c r="AA6" s="19"/>
      <c r="AB6" s="21">
        <f>SUMPRODUCT((P6:AA6)*--($P$2:$AA$2&lt;=MONTH(AI6)))</f>
        <v>3</v>
      </c>
      <c r="AC6" s="17">
        <f t="shared" ref="AC6:AC25" si="5">SUMPRODUCT((P6:AA6)*--($P$2:$AA$2&gt;MONTH(AI6)))</f>
        <v>1</v>
      </c>
      <c r="AD6" s="18">
        <f>IF(AB6&lt;=M6,M6-AB6,0)</f>
        <v>0</v>
      </c>
      <c r="AE6" s="19">
        <f ca="1">IF(AD6=0,N6-AC6-(AB6-M6),N6-AC6)</f>
        <v>2</v>
      </c>
      <c r="AF6" s="19">
        <f ca="1">IF(AND(AI6&lt;&gt;"",DBoard!$P$5&lt;=AI6),AD6+AE6,AE6)</f>
        <v>2</v>
      </c>
      <c r="AG6" s="17"/>
      <c r="AH6" s="17">
        <f ca="1">AF6-AG6</f>
        <v>2</v>
      </c>
      <c r="AI6" s="41" t="s">
        <v>246</v>
      </c>
      <c r="AJ6" s="19"/>
      <c r="AK6" s="19">
        <f t="shared" ref="AK6:AK25" ca="1" si="6">SUM(M6:N6)-SUM(AD6:AE6)</f>
        <v>4</v>
      </c>
      <c r="AL6" s="49">
        <v>73415</v>
      </c>
      <c r="AM6" s="22" t="s">
        <v>159</v>
      </c>
      <c r="AN6" s="49">
        <v>44017</v>
      </c>
    </row>
    <row r="7" spans="1:42" s="23" customFormat="1" ht="14.25" customHeight="1" x14ac:dyDescent="0.3">
      <c r="A7" s="33">
        <f t="shared" ref="A7:A25" si="7">ROW()-ROW($A$5)</f>
        <v>2</v>
      </c>
      <c r="B7" s="42" t="str">
        <f>INDEX('Data DSNV'!G:G,MATCH('Phép 2020'!D7,'Data DSNV'!C:C,0),1)</f>
        <v>00. Ban Giám đốc</v>
      </c>
      <c r="C7" s="42" t="str">
        <f>INDEX('Data DSNV'!B:B,MATCH('Phép 2020'!D7,'Data DSNV'!C:C,0),1)</f>
        <v>Đang làm việc</v>
      </c>
      <c r="D7" s="47" t="s">
        <v>30</v>
      </c>
      <c r="E7" s="42" t="str">
        <f>INDEX('Data DSNV'!E:E,MATCH('Phép 2020'!D7,'Data DSNV'!C:C,0),1)</f>
        <v>Phạm Thị Hằng</v>
      </c>
      <c r="F7" s="140" t="str">
        <f>INDEX('Data DSNV'!I:I,MATCH('Phép 2020'!D7,'Data DSNV'!C:C,0),1)</f>
        <v>Giám đốc</v>
      </c>
      <c r="G7" s="16">
        <f>INDEX('Data DSNV'!AI:AI,MATCH('Phép 2020'!D7,'Data DSNV'!C:C,0),1)</f>
        <v>39083</v>
      </c>
      <c r="H7" s="16">
        <f>INDEX('Data DSNV'!AL:AL,MATCH('Phép 2020'!D7,'Data DSNV'!C:C,0),1)</f>
        <v>39143</v>
      </c>
      <c r="I7" s="39">
        <f t="shared" ca="1" si="1"/>
        <v>13.704109589041096</v>
      </c>
      <c r="J7" s="29">
        <f t="shared" ca="1" si="2"/>
        <v>2.7408219178082192</v>
      </c>
      <c r="K7" s="31">
        <f t="shared" ca="1" si="3"/>
        <v>2</v>
      </c>
      <c r="L7" s="17">
        <f ca="1">ROUND(IF(G7&lt;=DBoard!$C$5,12,(DBoard!$E$5-G7)/30),0.5)+K7</f>
        <v>14</v>
      </c>
      <c r="M7" s="18"/>
      <c r="N7" s="19">
        <f ca="1">IF(OR(AND(G7&lt;=AL7,AL7&lt;DBoard!$C$5),G7=AL7,AL7=DBoard!$C$5,(AL7-G7)&lt;15,G7&gt;=DBoard!$J$5),0,
IF(OR(AND(G7=DBoard!$H$5,AL7&gt;DBoard!$J$5),AND(G7&gt;DBoard!$H$5,DAY(G7)&lt;15,AL7&gt;=DBoard!$L$5)),1,
IF(AND(G7&lt;=DBoard!$C$5,AL7&lt;DBoard!$H$5,DAY(AL7)&gt;=15),MONTH(AL7),
IF(AND(G7&lt;=DBoard!$C$5,AL7&lt;DBoard!$H$5,DAY(AL7)&lt;15),MONTH(AL7)-1,
IF(AND(G7&lt;=DBoard!$C$5,AL7&gt;DBoard!$J$5),DBoard!$N$5,
IF(AND(G7&lt;=DBoard!$C$5,(AL7-DBoard!$H$5)&lt;15,(AL7-DBoard!$H$5)&gt;=0),DBoard!$N$5-1,
IF(OR(AND(G7&lt;DBoard!$H$5,DAY(G7)&lt;15,AL7&gt;=DBoard!$H$5,DAY(AL7)&lt;15),AND(G7&lt;DBoard!$H$5,DAY(G7)&gt;=15,AL7&gt;DBoard!$J$5)),DBoard!$N$5-MONTH(G7),
IF(AND(G7&lt;DBoard!$H$5,DAY(G7)&lt;15,AL7&gt;DBoard!$J$5),DBoard!$N$5-MONTH(G7)+1,
IF(AND(G7&lt;DBoard!$H$5,DAY(G7)&gt;=15,AL7&gt;=DBoard!$H$5,DAY(AL7)&lt;=15),DBoard!$N$5-MONTH(G7)-1,
IF(AND(G7&lt;DBoard!$H$5,DAY(G7)&lt;15,DAY(AL7)&lt;15,AL7&lt;DBoard!$H$5),MONTH(AL7)-MONTH(G7),
IF(AND(G7&lt;DBoard!$H$5,DAY(G7)&lt;15,DAY(AL7)&gt;=15,AL7&lt;DBoard!$H$5),MONTH(AL7)-MONTH(G7)+1,
IF(AND(G7&lt;DBoard!$H$5,DAY(G7)&gt;=15,DAY(AL7)&lt;15,AL7&lt;DBoard!$H$5),MONTH(AL7)-MONTH(G7)-1,
IF(AND(G7&lt;DBoard!$H$5,DAY(G7)&gt;=15,DAY(AL7)&gt;=15,AL7&lt;DBoard!$H$5),MONTH(AL7)-MONTH(G7),
0)))))))))))))+K7</f>
        <v>8</v>
      </c>
      <c r="O7" s="20">
        <f t="shared" ca="1" si="4"/>
        <v>8</v>
      </c>
      <c r="P7" s="21"/>
      <c r="Q7" s="21"/>
      <c r="R7" s="21"/>
      <c r="S7" s="21"/>
      <c r="T7" s="21"/>
      <c r="U7" s="17"/>
      <c r="V7" s="17"/>
      <c r="W7" s="17"/>
      <c r="X7" s="17"/>
      <c r="Y7" s="17"/>
      <c r="Z7" s="17"/>
      <c r="AA7" s="19"/>
      <c r="AB7" s="21">
        <f t="shared" ref="AB7:AB25" si="8">SUMPRODUCT((P7:AA7)*--($P$2:$AA$2&lt;=MONTH(AI7)))</f>
        <v>0</v>
      </c>
      <c r="AC7" s="17">
        <f t="shared" si="5"/>
        <v>0</v>
      </c>
      <c r="AD7" s="18">
        <f t="shared" ref="AD7:AD25" si="9">IF(AB7&lt;=M7,M7-AB7,0)</f>
        <v>0</v>
      </c>
      <c r="AE7" s="19">
        <f t="shared" ref="AE7:AE25" ca="1" si="10">IF(AD7=0,N7-AC7-(AB7-M7),N7-AC7)</f>
        <v>8</v>
      </c>
      <c r="AF7" s="19">
        <f ca="1">IF(AND(AI7&lt;&gt;"",DBoard!$P$5&lt;=AI7),AD7+AE7,AE7)</f>
        <v>8</v>
      </c>
      <c r="AG7" s="17"/>
      <c r="AH7" s="17">
        <f t="shared" ref="AH7:AH25" ca="1" si="11">AF7-AG7</f>
        <v>8</v>
      </c>
      <c r="AI7" s="41" t="s">
        <v>246</v>
      </c>
      <c r="AJ7" s="19"/>
      <c r="AK7" s="19">
        <f t="shared" ca="1" si="6"/>
        <v>0</v>
      </c>
      <c r="AL7" s="49">
        <v>73415</v>
      </c>
      <c r="AM7" s="22"/>
      <c r="AN7" s="22"/>
    </row>
    <row r="8" spans="1:42" s="23" customFormat="1" ht="14.25" customHeight="1" x14ac:dyDescent="0.3">
      <c r="A8" s="33">
        <f t="shared" si="7"/>
        <v>3</v>
      </c>
      <c r="B8" s="42" t="str">
        <f>INDEX('Data DSNV'!G:G,MATCH('Phép 2020'!D8,'Data DSNV'!C:C,0),1)</f>
        <v>01. Phòng Hành chính nhân sự</v>
      </c>
      <c r="C8" s="42" t="str">
        <f>INDEX('Data DSNV'!B:B,MATCH('Phép 2020'!D8,'Data DSNV'!C:C,0),1)</f>
        <v>Đang làm việc</v>
      </c>
      <c r="D8" s="47" t="s">
        <v>31</v>
      </c>
      <c r="E8" s="42" t="str">
        <f>INDEX('Data DSNV'!E:E,MATCH('Phép 2020'!D8,'Data DSNV'!C:C,0),1)</f>
        <v>Phạm Văn Tiến</v>
      </c>
      <c r="F8" s="140" t="str">
        <f>INDEX('Data DSNV'!I:I,MATCH('Phép 2020'!D8,'Data DSNV'!C:C,0),1)</f>
        <v>Trưởng phòng Hành chính nhân sự</v>
      </c>
      <c r="G8" s="16">
        <f>INDEX('Data DSNV'!AI:AI,MATCH('Phép 2020'!D8,'Data DSNV'!C:C,0),1)</f>
        <v>42863</v>
      </c>
      <c r="H8" s="16">
        <f>INDEX('Data DSNV'!AL:AL,MATCH('Phép 2020'!D8,'Data DSNV'!C:C,0),1)</f>
        <v>42923</v>
      </c>
      <c r="I8" s="39">
        <f t="shared" ca="1" si="1"/>
        <v>3.3479452054794518</v>
      </c>
      <c r="J8" s="29">
        <f t="shared" ca="1" si="2"/>
        <v>0.66958904109589035</v>
      </c>
      <c r="K8" s="31">
        <f t="shared" ca="1" si="3"/>
        <v>0</v>
      </c>
      <c r="L8" s="17">
        <f ca="1">ROUND(IF(G8&lt;=DBoard!$C$5,12,(DBoard!$E$5-G8)/30),0.5)+K8</f>
        <v>12</v>
      </c>
      <c r="M8" s="18"/>
      <c r="N8" s="19">
        <f ca="1">IF(OR(AND(G8&lt;=AL8,AL8&lt;DBoard!$C$5),G8=AL8,AL8=DBoard!$C$5,(AL8-G8)&lt;15,G8&gt;=DBoard!$J$5),0,
IF(OR(AND(G8=DBoard!$H$5,AL8&gt;DBoard!$J$5),AND(G8&gt;DBoard!$H$5,DAY(G8)&lt;15,AL8&gt;=DBoard!$L$5)),1,
IF(AND(G8&lt;=DBoard!$C$5,AL8&lt;DBoard!$H$5,DAY(AL8)&gt;=15),MONTH(AL8),
IF(AND(G8&lt;=DBoard!$C$5,AL8&lt;DBoard!$H$5,DAY(AL8)&lt;15),MONTH(AL8)-1,
IF(AND(G8&lt;=DBoard!$C$5,AL8&gt;DBoard!$J$5),DBoard!$N$5,
IF(AND(G8&lt;=DBoard!$C$5,(AL8-DBoard!$H$5)&lt;15,(AL8-DBoard!$H$5)&gt;=0),DBoard!$N$5-1,
IF(OR(AND(G8&lt;DBoard!$H$5,DAY(G8)&lt;15,AL8&gt;=DBoard!$H$5,DAY(AL8)&lt;15),AND(G8&lt;DBoard!$H$5,DAY(G8)&gt;=15,AL8&gt;DBoard!$J$5)),DBoard!$N$5-MONTH(G8),
IF(AND(G8&lt;DBoard!$H$5,DAY(G8)&lt;15,AL8&gt;DBoard!$J$5),DBoard!$N$5-MONTH(G8)+1,
IF(AND(G8&lt;DBoard!$H$5,DAY(G8)&gt;=15,AL8&gt;=DBoard!$H$5,DAY(AL8)&lt;=15),DBoard!$N$5-MONTH(G8)-1,
IF(AND(G8&lt;DBoard!$H$5,DAY(G8)&lt;15,DAY(AL8)&lt;15,AL8&lt;DBoard!$H$5),MONTH(AL8)-MONTH(G8),
IF(AND(G8&lt;DBoard!$H$5,DAY(G8)&lt;15,DAY(AL8)&gt;=15,AL8&lt;DBoard!$H$5),MONTH(AL8)-MONTH(G8)+1,
IF(AND(G8&lt;DBoard!$H$5,DAY(G8)&gt;=15,DAY(AL8)&lt;15,AL8&lt;DBoard!$H$5),MONTH(AL8)-MONTH(G8)-1,
IF(AND(G8&lt;DBoard!$H$5,DAY(G8)&gt;=15,DAY(AL8)&gt;=15,AL8&lt;DBoard!$H$5),MONTH(AL8)-MONTH(G8),
0)))))))))))))+K8</f>
        <v>6</v>
      </c>
      <c r="O8" s="20">
        <f t="shared" ca="1" si="4"/>
        <v>6</v>
      </c>
      <c r="P8" s="21"/>
      <c r="Q8" s="21"/>
      <c r="R8" s="21"/>
      <c r="S8" s="21"/>
      <c r="T8" s="21"/>
      <c r="U8" s="17"/>
      <c r="V8" s="17"/>
      <c r="W8" s="17"/>
      <c r="X8" s="17"/>
      <c r="Y8" s="17"/>
      <c r="Z8" s="17"/>
      <c r="AA8" s="19"/>
      <c r="AB8" s="21">
        <f t="shared" si="8"/>
        <v>0</v>
      </c>
      <c r="AC8" s="17">
        <f t="shared" si="5"/>
        <v>0</v>
      </c>
      <c r="AD8" s="18">
        <f t="shared" si="9"/>
        <v>0</v>
      </c>
      <c r="AE8" s="19">
        <f t="shared" ca="1" si="10"/>
        <v>6</v>
      </c>
      <c r="AF8" s="19">
        <f ca="1">IF(AND(AI8&lt;&gt;"",DBoard!$P$5&lt;=AI8),AD8+AE8,AE8)</f>
        <v>6</v>
      </c>
      <c r="AG8" s="17"/>
      <c r="AH8" s="17">
        <f t="shared" ca="1" si="11"/>
        <v>6</v>
      </c>
      <c r="AI8" s="41" t="s">
        <v>246</v>
      </c>
      <c r="AJ8" s="19"/>
      <c r="AK8" s="19">
        <f t="shared" ca="1" si="6"/>
        <v>0</v>
      </c>
      <c r="AL8" s="49">
        <v>73415</v>
      </c>
      <c r="AM8" s="22"/>
      <c r="AN8" s="22"/>
    </row>
    <row r="9" spans="1:42" s="23" customFormat="1" ht="14.25" customHeight="1" x14ac:dyDescent="0.3">
      <c r="A9" s="33">
        <f t="shared" si="7"/>
        <v>4</v>
      </c>
      <c r="B9" s="42" t="str">
        <f>INDEX('Data DSNV'!G:G,MATCH('Phép 2020'!D9,'Data DSNV'!C:C,0),1)</f>
        <v>01. Phòng Hành chính nhân sự</v>
      </c>
      <c r="C9" s="42" t="str">
        <f>INDEX('Data DSNV'!B:B,MATCH('Phép 2020'!D9,'Data DSNV'!C:C,0),1)</f>
        <v>Đang làm việc</v>
      </c>
      <c r="D9" s="47" t="s">
        <v>43</v>
      </c>
      <c r="E9" s="42" t="str">
        <f>INDEX('Data DSNV'!E:E,MATCH('Phép 2020'!D9,'Data DSNV'!C:C,0),1)</f>
        <v>Nguyễn Thùy Linh</v>
      </c>
      <c r="F9" s="140" t="str">
        <f>INDEX('Data DSNV'!I:I,MATCH('Phép 2020'!D9,'Data DSNV'!C:C,0),1)</f>
        <v>Trợ lý Giám đốc</v>
      </c>
      <c r="G9" s="16">
        <f>INDEX('Data DSNV'!AI:AI,MATCH('Phép 2020'!D9,'Data DSNV'!C:C,0),1)</f>
        <v>43435</v>
      </c>
      <c r="H9" s="16">
        <f>INDEX('Data DSNV'!AL:AL,MATCH('Phép 2020'!D9,'Data DSNV'!C:C,0),1)</f>
        <v>43495</v>
      </c>
      <c r="I9" s="39">
        <f t="shared" ca="1" si="1"/>
        <v>1.7808219178082192</v>
      </c>
      <c r="J9" s="29">
        <f t="shared" ca="1" si="2"/>
        <v>0.35616438356164382</v>
      </c>
      <c r="K9" s="31">
        <f t="shared" ca="1" si="3"/>
        <v>0</v>
      </c>
      <c r="L9" s="17">
        <f ca="1">ROUND(IF(G9&lt;=DBoard!$C$5,12,(DBoard!$E$5-G9)/30),0.5)+K9</f>
        <v>12</v>
      </c>
      <c r="M9" s="18"/>
      <c r="N9" s="19">
        <f ca="1">IF(OR(AND(G9&lt;=AL9,AL9&lt;DBoard!$C$5),G9=AL9,AL9=DBoard!$C$5,(AL9-G9)&lt;15,G9&gt;=DBoard!$J$5),0,
IF(OR(AND(G9=DBoard!$H$5,AL9&gt;DBoard!$J$5),AND(G9&gt;DBoard!$H$5,DAY(G9)&lt;15,AL9&gt;=DBoard!$L$5)),1,
IF(AND(G9&lt;=DBoard!$C$5,AL9&lt;DBoard!$H$5,DAY(AL9)&gt;=15),MONTH(AL9),
IF(AND(G9&lt;=DBoard!$C$5,AL9&lt;DBoard!$H$5,DAY(AL9)&lt;15),MONTH(AL9)-1,
IF(AND(G9&lt;=DBoard!$C$5,AL9&gt;DBoard!$J$5),DBoard!$N$5,
IF(AND(G9&lt;=DBoard!$C$5,(AL9-DBoard!$H$5)&lt;15,(AL9-DBoard!$H$5)&gt;=0),DBoard!$N$5-1,
IF(OR(AND(G9&lt;DBoard!$H$5,DAY(G9)&lt;15,AL9&gt;=DBoard!$H$5,DAY(AL9)&lt;15),AND(G9&lt;DBoard!$H$5,DAY(G9)&gt;=15,AL9&gt;DBoard!$J$5)),DBoard!$N$5-MONTH(G9),
IF(AND(G9&lt;DBoard!$H$5,DAY(G9)&lt;15,AL9&gt;DBoard!$J$5),DBoard!$N$5-MONTH(G9)+1,
IF(AND(G9&lt;DBoard!$H$5,DAY(G9)&gt;=15,AL9&gt;=DBoard!$H$5,DAY(AL9)&lt;=15),DBoard!$N$5-MONTH(G9)-1,
IF(AND(G9&lt;DBoard!$H$5,DAY(G9)&lt;15,DAY(AL9)&lt;15,AL9&lt;DBoard!$H$5),MONTH(AL9)-MONTH(G9),
IF(AND(G9&lt;DBoard!$H$5,DAY(G9)&lt;15,DAY(AL9)&gt;=15,AL9&lt;DBoard!$H$5),MONTH(AL9)-MONTH(G9)+1,
IF(AND(G9&lt;DBoard!$H$5,DAY(G9)&gt;=15,DAY(AL9)&lt;15,AL9&lt;DBoard!$H$5),MONTH(AL9)-MONTH(G9)-1,
IF(AND(G9&lt;DBoard!$H$5,DAY(G9)&gt;=15,DAY(AL9)&gt;=15,AL9&lt;DBoard!$H$5),MONTH(AL9)-MONTH(G9),
0)))))))))))))+K9</f>
        <v>6</v>
      </c>
      <c r="O9" s="20">
        <f t="shared" ca="1" si="4"/>
        <v>6</v>
      </c>
      <c r="P9" s="21"/>
      <c r="Q9" s="21"/>
      <c r="R9" s="21"/>
      <c r="S9" s="21"/>
      <c r="T9" s="21"/>
      <c r="U9" s="17"/>
      <c r="V9" s="17"/>
      <c r="W9" s="17"/>
      <c r="X9" s="17"/>
      <c r="Y9" s="17"/>
      <c r="Z9" s="17"/>
      <c r="AA9" s="19"/>
      <c r="AB9" s="21">
        <f t="shared" si="8"/>
        <v>0</v>
      </c>
      <c r="AC9" s="17">
        <f t="shared" si="5"/>
        <v>0</v>
      </c>
      <c r="AD9" s="18">
        <f t="shared" si="9"/>
        <v>0</v>
      </c>
      <c r="AE9" s="19">
        <f t="shared" ca="1" si="10"/>
        <v>6</v>
      </c>
      <c r="AF9" s="19">
        <f ca="1">IF(AND(AI9&lt;&gt;"",DBoard!$P$5&lt;=AI9),AD9+AE9,AE9)</f>
        <v>6</v>
      </c>
      <c r="AG9" s="17"/>
      <c r="AH9" s="17">
        <f t="shared" ca="1" si="11"/>
        <v>6</v>
      </c>
      <c r="AI9" s="41" t="s">
        <v>246</v>
      </c>
      <c r="AJ9" s="19"/>
      <c r="AK9" s="19">
        <f t="shared" ca="1" si="6"/>
        <v>0</v>
      </c>
      <c r="AL9" s="49">
        <v>73415</v>
      </c>
      <c r="AM9" s="22"/>
      <c r="AN9" s="49"/>
    </row>
    <row r="10" spans="1:42" s="23" customFormat="1" ht="14.25" customHeight="1" x14ac:dyDescent="0.3">
      <c r="A10" s="33">
        <f t="shared" si="7"/>
        <v>5</v>
      </c>
      <c r="B10" s="42" t="str">
        <f>INDEX('Data DSNV'!G:G,MATCH('Phép 2020'!D10,'Data DSNV'!C:C,0),1)</f>
        <v>01. Phòng Hành chính nhân sự</v>
      </c>
      <c r="C10" s="42" t="str">
        <f>INDEX('Data DSNV'!B:B,MATCH('Phép 2020'!D10,'Data DSNV'!C:C,0),1)</f>
        <v>Đang làm việc</v>
      </c>
      <c r="D10" s="47" t="s">
        <v>42</v>
      </c>
      <c r="E10" s="42" t="str">
        <f>INDEX('Data DSNV'!E:E,MATCH('Phép 2020'!D10,'Data DSNV'!C:C,0),1)</f>
        <v>Nguyễn Hồng Ánh</v>
      </c>
      <c r="F10" s="140" t="str">
        <f>INDEX('Data DSNV'!I:I,MATCH('Phép 2020'!D10,'Data DSNV'!C:C,0),1)</f>
        <v>Nhân viên Hành chính lễ tân</v>
      </c>
      <c r="G10" s="16">
        <f>INDEX('Data DSNV'!AI:AI,MATCH('Phép 2020'!D10,'Data DSNV'!C:C,0),1)</f>
        <v>43399</v>
      </c>
      <c r="H10" s="16">
        <f>INDEX('Data DSNV'!AL:AL,MATCH('Phép 2020'!D10,'Data DSNV'!C:C,0),1)</f>
        <v>43459</v>
      </c>
      <c r="I10" s="39">
        <f t="shared" ca="1" si="1"/>
        <v>1.8794520547945206</v>
      </c>
      <c r="J10" s="29">
        <f t="shared" ca="1" si="2"/>
        <v>0.37589041095890413</v>
      </c>
      <c r="K10" s="31">
        <f t="shared" ca="1" si="3"/>
        <v>0</v>
      </c>
      <c r="L10" s="17">
        <f ca="1">ROUND(IF(G10&lt;=DBoard!$C$5,12,(DBoard!$E$5-G10)/30),0.5)+K10</f>
        <v>12</v>
      </c>
      <c r="M10" s="18"/>
      <c r="N10" s="19">
        <f ca="1">IF(OR(AND(G10&lt;=AL10,AL10&lt;DBoard!$C$5),G10=AL10,AL10=DBoard!$C$5,(AL10-G10)&lt;15,G10&gt;=DBoard!$J$5),0,
IF(OR(AND(G10=DBoard!$H$5,AL10&gt;DBoard!$J$5),AND(G10&gt;DBoard!$H$5,DAY(G10)&lt;15,AL10&gt;=DBoard!$L$5)),1,
IF(AND(G10&lt;=DBoard!$C$5,AL10&lt;DBoard!$H$5,DAY(AL10)&gt;=15),MONTH(AL10),
IF(AND(G10&lt;=DBoard!$C$5,AL10&lt;DBoard!$H$5,DAY(AL10)&lt;15),MONTH(AL10)-1,
IF(AND(G10&lt;=DBoard!$C$5,AL10&gt;DBoard!$J$5),DBoard!$N$5,
IF(AND(G10&lt;=DBoard!$C$5,(AL10-DBoard!$H$5)&lt;15,(AL10-DBoard!$H$5)&gt;=0),DBoard!$N$5-1,
IF(OR(AND(G10&lt;DBoard!$H$5,DAY(G10)&lt;15,AL10&gt;=DBoard!$H$5,DAY(AL10)&lt;15),AND(G10&lt;DBoard!$H$5,DAY(G10)&gt;=15,AL10&gt;DBoard!$J$5)),DBoard!$N$5-MONTH(G10),
IF(AND(G10&lt;DBoard!$H$5,DAY(G10)&lt;15,AL10&gt;DBoard!$J$5),DBoard!$N$5-MONTH(G10)+1,
IF(AND(G10&lt;DBoard!$H$5,DAY(G10)&gt;=15,AL10&gt;=DBoard!$H$5,DAY(AL10)&lt;=15),DBoard!$N$5-MONTH(G10)-1,
IF(AND(G10&lt;DBoard!$H$5,DAY(G10)&lt;15,DAY(AL10)&lt;15,AL10&lt;DBoard!$H$5),MONTH(AL10)-MONTH(G10),
IF(AND(G10&lt;DBoard!$H$5,DAY(G10)&lt;15,DAY(AL10)&gt;=15,AL10&lt;DBoard!$H$5),MONTH(AL10)-MONTH(G10)+1,
IF(AND(G10&lt;DBoard!$H$5,DAY(G10)&gt;=15,DAY(AL10)&lt;15,AL10&lt;DBoard!$H$5),MONTH(AL10)-MONTH(G10)-1,
IF(AND(G10&lt;DBoard!$H$5,DAY(G10)&gt;=15,DAY(AL10)&gt;=15,AL10&lt;DBoard!$H$5),MONTH(AL10)-MONTH(G10),
0)))))))))))))+K10</f>
        <v>6</v>
      </c>
      <c r="O10" s="20">
        <f t="shared" ca="1" si="4"/>
        <v>6</v>
      </c>
      <c r="P10" s="21"/>
      <c r="Q10" s="21"/>
      <c r="R10" s="21"/>
      <c r="S10" s="21"/>
      <c r="T10" s="21"/>
      <c r="U10" s="17"/>
      <c r="V10" s="17"/>
      <c r="W10" s="17"/>
      <c r="X10" s="17"/>
      <c r="Y10" s="17"/>
      <c r="Z10" s="17"/>
      <c r="AA10" s="19"/>
      <c r="AB10" s="21">
        <f t="shared" si="8"/>
        <v>0</v>
      </c>
      <c r="AC10" s="17">
        <f t="shared" si="5"/>
        <v>0</v>
      </c>
      <c r="AD10" s="18">
        <f t="shared" si="9"/>
        <v>0</v>
      </c>
      <c r="AE10" s="19">
        <f t="shared" ca="1" si="10"/>
        <v>6</v>
      </c>
      <c r="AF10" s="19">
        <f ca="1">IF(AND(AI10&lt;&gt;"",DBoard!$P$5&lt;=AI10),AD10+AE10,AE10)</f>
        <v>6</v>
      </c>
      <c r="AG10" s="17"/>
      <c r="AH10" s="17">
        <f t="shared" ca="1" si="11"/>
        <v>6</v>
      </c>
      <c r="AI10" s="41" t="s">
        <v>246</v>
      </c>
      <c r="AJ10" s="19"/>
      <c r="AK10" s="19">
        <f t="shared" ca="1" si="6"/>
        <v>0</v>
      </c>
      <c r="AL10" s="49">
        <v>73415</v>
      </c>
      <c r="AM10" s="22"/>
      <c r="AN10" s="22"/>
    </row>
    <row r="11" spans="1:42" s="23" customFormat="1" ht="14.25" customHeight="1" x14ac:dyDescent="0.3">
      <c r="A11" s="33">
        <f t="shared" si="7"/>
        <v>6</v>
      </c>
      <c r="B11" s="42" t="str">
        <f>INDEX('Data DSNV'!G:G,MATCH('Phép 2020'!D11,'Data DSNV'!C:C,0),1)</f>
        <v>02. Phòng Kinh doanh</v>
      </c>
      <c r="C11" s="42" t="str">
        <f>INDEX('Data DSNV'!B:B,MATCH('Phép 2020'!D11,'Data DSNV'!C:C,0),1)</f>
        <v>Đang làm việc</v>
      </c>
      <c r="D11" s="47" t="s">
        <v>40</v>
      </c>
      <c r="E11" s="42" t="str">
        <f>INDEX('Data DSNV'!E:E,MATCH('Phép 2020'!D11,'Data DSNV'!C:C,0),1)</f>
        <v>Nguyễn Thị Thu Hương</v>
      </c>
      <c r="F11" s="140" t="str">
        <f>INDEX('Data DSNV'!I:I,MATCH('Phép 2020'!D11,'Data DSNV'!C:C,0),1)</f>
        <v>Trưởng phòng Kinh doanh</v>
      </c>
      <c r="G11" s="16">
        <f>INDEX('Data DSNV'!AI:AI,MATCH('Phép 2020'!D11,'Data DSNV'!C:C,0),1)</f>
        <v>38718</v>
      </c>
      <c r="H11" s="16">
        <f>INDEX('Data DSNV'!AL:AL,MATCH('Phép 2020'!D11,'Data DSNV'!C:C,0),1)</f>
        <v>38778</v>
      </c>
      <c r="I11" s="39">
        <f t="shared" ca="1" si="1"/>
        <v>14.704109589041096</v>
      </c>
      <c r="J11" s="29">
        <f t="shared" ca="1" si="2"/>
        <v>2.9408219178082193</v>
      </c>
      <c r="K11" s="31">
        <f t="shared" ca="1" si="3"/>
        <v>2</v>
      </c>
      <c r="L11" s="17">
        <f ca="1">ROUND(IF(G11&lt;=DBoard!$C$5,12,(DBoard!$E$5-G11)/30),0.5)+K11</f>
        <v>14</v>
      </c>
      <c r="M11" s="18"/>
      <c r="N11" s="19">
        <f ca="1">IF(OR(AND(G11&lt;=AL11,AL11&lt;DBoard!$C$5),G11=AL11,AL11=DBoard!$C$5,(AL11-G11)&lt;15,G11&gt;=DBoard!$J$5),0,
IF(OR(AND(G11=DBoard!$H$5,AL11&gt;DBoard!$J$5),AND(G11&gt;DBoard!$H$5,DAY(G11)&lt;15,AL11&gt;=DBoard!$L$5)),1,
IF(AND(G11&lt;=DBoard!$C$5,AL11&lt;DBoard!$H$5,DAY(AL11)&gt;=15),MONTH(AL11),
IF(AND(G11&lt;=DBoard!$C$5,AL11&lt;DBoard!$H$5,DAY(AL11)&lt;15),MONTH(AL11)-1,
IF(AND(G11&lt;=DBoard!$C$5,AL11&gt;DBoard!$J$5),DBoard!$N$5,
IF(AND(G11&lt;=DBoard!$C$5,(AL11-DBoard!$H$5)&lt;15,(AL11-DBoard!$H$5)&gt;=0),DBoard!$N$5-1,
IF(OR(AND(G11&lt;DBoard!$H$5,DAY(G11)&lt;15,AL11&gt;=DBoard!$H$5,DAY(AL11)&lt;15),AND(G11&lt;DBoard!$H$5,DAY(G11)&gt;=15,AL11&gt;DBoard!$J$5)),DBoard!$N$5-MONTH(G11),
IF(AND(G11&lt;DBoard!$H$5,DAY(G11)&lt;15,AL11&gt;DBoard!$J$5),DBoard!$N$5-MONTH(G11)+1,
IF(AND(G11&lt;DBoard!$H$5,DAY(G11)&gt;=15,AL11&gt;=DBoard!$H$5,DAY(AL11)&lt;=15),DBoard!$N$5-MONTH(G11)-1,
IF(AND(G11&lt;DBoard!$H$5,DAY(G11)&lt;15,DAY(AL11)&lt;15,AL11&lt;DBoard!$H$5),MONTH(AL11)-MONTH(G11),
IF(AND(G11&lt;DBoard!$H$5,DAY(G11)&lt;15,DAY(AL11)&gt;=15,AL11&lt;DBoard!$H$5),MONTH(AL11)-MONTH(G11)+1,
IF(AND(G11&lt;DBoard!$H$5,DAY(G11)&gt;=15,DAY(AL11)&lt;15,AL11&lt;DBoard!$H$5),MONTH(AL11)-MONTH(G11)-1,
IF(AND(G11&lt;DBoard!$H$5,DAY(G11)&gt;=15,DAY(AL11)&gt;=15,AL11&lt;DBoard!$H$5),MONTH(AL11)-MONTH(G11),
0)))))))))))))+K11</f>
        <v>8</v>
      </c>
      <c r="O11" s="20">
        <f t="shared" ca="1" si="4"/>
        <v>8</v>
      </c>
      <c r="P11" s="21"/>
      <c r="Q11" s="21"/>
      <c r="R11" s="21"/>
      <c r="S11" s="21"/>
      <c r="T11" s="21"/>
      <c r="U11" s="17"/>
      <c r="V11" s="17"/>
      <c r="W11" s="17"/>
      <c r="X11" s="17"/>
      <c r="Y11" s="17"/>
      <c r="Z11" s="17"/>
      <c r="AA11" s="19"/>
      <c r="AB11" s="21">
        <f t="shared" si="8"/>
        <v>0</v>
      </c>
      <c r="AC11" s="17">
        <f t="shared" si="5"/>
        <v>0</v>
      </c>
      <c r="AD11" s="18">
        <f t="shared" si="9"/>
        <v>0</v>
      </c>
      <c r="AE11" s="19">
        <f t="shared" ca="1" si="10"/>
        <v>8</v>
      </c>
      <c r="AF11" s="19">
        <f ca="1">IF(AND(AI11&lt;&gt;"",DBoard!$P$5&lt;=AI11),AD11+AE11,AE11)</f>
        <v>8</v>
      </c>
      <c r="AG11" s="17"/>
      <c r="AH11" s="17">
        <f t="shared" ca="1" si="11"/>
        <v>8</v>
      </c>
      <c r="AI11" s="41" t="s">
        <v>246</v>
      </c>
      <c r="AJ11" s="19"/>
      <c r="AK11" s="19">
        <f t="shared" ca="1" si="6"/>
        <v>0</v>
      </c>
      <c r="AL11" s="49">
        <v>73415</v>
      </c>
      <c r="AM11" s="22"/>
      <c r="AN11" s="22"/>
    </row>
    <row r="12" spans="1:42" s="23" customFormat="1" ht="14.25" customHeight="1" x14ac:dyDescent="0.3">
      <c r="A12" s="33">
        <f t="shared" si="7"/>
        <v>7</v>
      </c>
      <c r="B12" s="42" t="str">
        <f>INDEX('Data DSNV'!G:G,MATCH('Phép 2020'!D12,'Data DSNV'!C:C,0),1)</f>
        <v>02. Phòng Kinh doanh</v>
      </c>
      <c r="C12" s="42" t="str">
        <f>INDEX('Data DSNV'!B:B,MATCH('Phép 2020'!D12,'Data DSNV'!C:C,0),1)</f>
        <v>Đang làm việc</v>
      </c>
      <c r="D12" s="47" t="s">
        <v>47</v>
      </c>
      <c r="E12" s="42" t="str">
        <f>INDEX('Data DSNV'!E:E,MATCH('Phép 2020'!D12,'Data DSNV'!C:C,0),1)</f>
        <v>Nguyễn Thu Hồng</v>
      </c>
      <c r="F12" s="140" t="str">
        <f>INDEX('Data DSNV'!I:I,MATCH('Phép 2020'!D12,'Data DSNV'!C:C,0),1)</f>
        <v>Nhân viên kinh doanh</v>
      </c>
      <c r="G12" s="16">
        <f>INDEX('Data DSNV'!AI:AI,MATCH('Phép 2020'!D12,'Data DSNV'!C:C,0),1)</f>
        <v>42527</v>
      </c>
      <c r="H12" s="16">
        <f>INDEX('Data DSNV'!AL:AL,MATCH('Phép 2020'!D12,'Data DSNV'!C:C,0),1)</f>
        <v>42587</v>
      </c>
      <c r="I12" s="39">
        <f t="shared" ca="1" si="1"/>
        <v>4.2684931506849315</v>
      </c>
      <c r="J12" s="29">
        <f t="shared" ca="1" si="2"/>
        <v>0.85369863013698633</v>
      </c>
      <c r="K12" s="31">
        <f t="shared" ca="1" si="3"/>
        <v>0</v>
      </c>
      <c r="L12" s="17">
        <f ca="1">ROUND(IF(G12&lt;=DBoard!$C$5,12,(DBoard!$E$5-G12)/30),0.5)+K12</f>
        <v>12</v>
      </c>
      <c r="M12" s="18"/>
      <c r="N12" s="19">
        <f ca="1">IF(OR(AND(G12&lt;=AL12,AL12&lt;DBoard!$C$5),G12=AL12,AL12=DBoard!$C$5,(AL12-G12)&lt;15,G12&gt;=DBoard!$J$5),0,
IF(OR(AND(G12=DBoard!$H$5,AL12&gt;DBoard!$J$5),AND(G12&gt;DBoard!$H$5,DAY(G12)&lt;15,AL12&gt;=DBoard!$L$5)),1,
IF(AND(G12&lt;=DBoard!$C$5,AL12&lt;DBoard!$H$5,DAY(AL12)&gt;=15),MONTH(AL12),
IF(AND(G12&lt;=DBoard!$C$5,AL12&lt;DBoard!$H$5,DAY(AL12)&lt;15),MONTH(AL12)-1,
IF(AND(G12&lt;=DBoard!$C$5,AL12&gt;DBoard!$J$5),DBoard!$N$5,
IF(AND(G12&lt;=DBoard!$C$5,(AL12-DBoard!$H$5)&lt;15,(AL12-DBoard!$H$5)&gt;=0),DBoard!$N$5-1,
IF(OR(AND(G12&lt;DBoard!$H$5,DAY(G12)&lt;15,AL12&gt;=DBoard!$H$5,DAY(AL12)&lt;15),AND(G12&lt;DBoard!$H$5,DAY(G12)&gt;=15,AL12&gt;DBoard!$J$5)),DBoard!$N$5-MONTH(G12),
IF(AND(G12&lt;DBoard!$H$5,DAY(G12)&lt;15,AL12&gt;DBoard!$J$5),DBoard!$N$5-MONTH(G12)+1,
IF(AND(G12&lt;DBoard!$H$5,DAY(G12)&gt;=15,AL12&gt;=DBoard!$H$5,DAY(AL12)&lt;=15),DBoard!$N$5-MONTH(G12)-1,
IF(AND(G12&lt;DBoard!$H$5,DAY(G12)&lt;15,DAY(AL12)&lt;15,AL12&lt;DBoard!$H$5),MONTH(AL12)-MONTH(G12),
IF(AND(G12&lt;DBoard!$H$5,DAY(G12)&lt;15,DAY(AL12)&gt;=15,AL12&lt;DBoard!$H$5),MONTH(AL12)-MONTH(G12)+1,
IF(AND(G12&lt;DBoard!$H$5,DAY(G12)&gt;=15,DAY(AL12)&lt;15,AL12&lt;DBoard!$H$5),MONTH(AL12)-MONTH(G12)-1,
IF(AND(G12&lt;DBoard!$H$5,DAY(G12)&gt;=15,DAY(AL12)&gt;=15,AL12&lt;DBoard!$H$5),MONTH(AL12)-MONTH(G12),
0)))))))))))))+K12</f>
        <v>6</v>
      </c>
      <c r="O12" s="20">
        <f t="shared" ca="1" si="4"/>
        <v>6</v>
      </c>
      <c r="P12" s="21"/>
      <c r="Q12" s="21"/>
      <c r="R12" s="21"/>
      <c r="S12" s="21"/>
      <c r="T12" s="21"/>
      <c r="U12" s="17"/>
      <c r="V12" s="17"/>
      <c r="W12" s="17"/>
      <c r="X12" s="17"/>
      <c r="Y12" s="17"/>
      <c r="Z12" s="17"/>
      <c r="AA12" s="19"/>
      <c r="AB12" s="21">
        <f t="shared" si="8"/>
        <v>0</v>
      </c>
      <c r="AC12" s="17">
        <f t="shared" si="5"/>
        <v>0</v>
      </c>
      <c r="AD12" s="18">
        <f t="shared" si="9"/>
        <v>0</v>
      </c>
      <c r="AE12" s="19">
        <f t="shared" ca="1" si="10"/>
        <v>6</v>
      </c>
      <c r="AF12" s="19">
        <f ca="1">IF(AND(AI12&lt;&gt;"",DBoard!$P$5&lt;=AI12),AD12+AE12,AE12)</f>
        <v>6</v>
      </c>
      <c r="AG12" s="17"/>
      <c r="AH12" s="17">
        <f t="shared" ca="1" si="11"/>
        <v>6</v>
      </c>
      <c r="AI12" s="41" t="s">
        <v>246</v>
      </c>
      <c r="AJ12" s="19"/>
      <c r="AK12" s="19">
        <f t="shared" ca="1" si="6"/>
        <v>0</v>
      </c>
      <c r="AL12" s="49">
        <v>73415</v>
      </c>
      <c r="AM12" s="22"/>
      <c r="AN12" s="49"/>
    </row>
    <row r="13" spans="1:42" s="23" customFormat="1" ht="14.25" customHeight="1" x14ac:dyDescent="0.3">
      <c r="A13" s="33">
        <f t="shared" si="7"/>
        <v>8</v>
      </c>
      <c r="B13" s="42" t="str">
        <f>INDEX('Data DSNV'!G:G,MATCH('Phép 2020'!D13,'Data DSNV'!C:C,0),1)</f>
        <v>03. Phòng Kế toán</v>
      </c>
      <c r="C13" s="42" t="str">
        <f>INDEX('Data DSNV'!B:B,MATCH('Phép 2020'!D13,'Data DSNV'!C:C,0),1)</f>
        <v>Đang làm việc</v>
      </c>
      <c r="D13" s="47" t="s">
        <v>41</v>
      </c>
      <c r="E13" s="42" t="str">
        <f>INDEX('Data DSNV'!E:E,MATCH('Phép 2020'!D13,'Data DSNV'!C:C,0),1)</f>
        <v>Nguyễn Thị Mai</v>
      </c>
      <c r="F13" s="140" t="str">
        <f>INDEX('Data DSNV'!I:I,MATCH('Phép 2020'!D13,'Data DSNV'!C:C,0),1)</f>
        <v>Nhân viên kế toán công nợ</v>
      </c>
      <c r="G13" s="16">
        <f>INDEX('Data DSNV'!AI:AI,MATCH('Phép 2020'!D13,'Data DSNV'!C:C,0),1)</f>
        <v>40513</v>
      </c>
      <c r="H13" s="16">
        <f>INDEX('Data DSNV'!AL:AL,MATCH('Phép 2020'!D13,'Data DSNV'!C:C,0),1)</f>
        <v>40573</v>
      </c>
      <c r="I13" s="39">
        <f t="shared" ca="1" si="1"/>
        <v>9.786301369863013</v>
      </c>
      <c r="J13" s="29">
        <f t="shared" ca="1" si="2"/>
        <v>1.9572602739726026</v>
      </c>
      <c r="K13" s="31">
        <f t="shared" ca="1" si="3"/>
        <v>1</v>
      </c>
      <c r="L13" s="17">
        <f ca="1">ROUND(IF(G13&lt;=DBoard!$C$5,12,(DBoard!$E$5-G13)/30),0.5)+K13</f>
        <v>13</v>
      </c>
      <c r="M13" s="18"/>
      <c r="N13" s="19">
        <f ca="1">IF(OR(AND(G13&lt;=AL13,AL13&lt;DBoard!$C$5),G13=AL13,AL13=DBoard!$C$5,(AL13-G13)&lt;15,G13&gt;=DBoard!$J$5),0,
IF(OR(AND(G13=DBoard!$H$5,AL13&gt;DBoard!$J$5),AND(G13&gt;DBoard!$H$5,DAY(G13)&lt;15,AL13&gt;=DBoard!$L$5)),1,
IF(AND(G13&lt;=DBoard!$C$5,AL13&lt;DBoard!$H$5,DAY(AL13)&gt;=15),MONTH(AL13),
IF(AND(G13&lt;=DBoard!$C$5,AL13&lt;DBoard!$H$5,DAY(AL13)&lt;15),MONTH(AL13)-1,
IF(AND(G13&lt;=DBoard!$C$5,AL13&gt;DBoard!$J$5),DBoard!$N$5,
IF(AND(G13&lt;=DBoard!$C$5,(AL13-DBoard!$H$5)&lt;15,(AL13-DBoard!$H$5)&gt;=0),DBoard!$N$5-1,
IF(OR(AND(G13&lt;DBoard!$H$5,DAY(G13)&lt;15,AL13&gt;=DBoard!$H$5,DAY(AL13)&lt;15),AND(G13&lt;DBoard!$H$5,DAY(G13)&gt;=15,AL13&gt;DBoard!$J$5)),DBoard!$N$5-MONTH(G13),
IF(AND(G13&lt;DBoard!$H$5,DAY(G13)&lt;15,AL13&gt;DBoard!$J$5),DBoard!$N$5-MONTH(G13)+1,
IF(AND(G13&lt;DBoard!$H$5,DAY(G13)&gt;=15,AL13&gt;=DBoard!$H$5,DAY(AL13)&lt;=15),DBoard!$N$5-MONTH(G13)-1,
IF(AND(G13&lt;DBoard!$H$5,DAY(G13)&lt;15,DAY(AL13)&lt;15,AL13&lt;DBoard!$H$5),MONTH(AL13)-MONTH(G13),
IF(AND(G13&lt;DBoard!$H$5,DAY(G13)&lt;15,DAY(AL13)&gt;=15,AL13&lt;DBoard!$H$5),MONTH(AL13)-MONTH(G13)+1,
IF(AND(G13&lt;DBoard!$H$5,DAY(G13)&gt;=15,DAY(AL13)&lt;15,AL13&lt;DBoard!$H$5),MONTH(AL13)-MONTH(G13)-1,
IF(AND(G13&lt;DBoard!$H$5,DAY(G13)&gt;=15,DAY(AL13)&gt;=15,AL13&lt;DBoard!$H$5),MONTH(AL13)-MONTH(G13),
0)))))))))))))+K13</f>
        <v>7</v>
      </c>
      <c r="O13" s="20">
        <f t="shared" ca="1" si="4"/>
        <v>7</v>
      </c>
      <c r="P13" s="21"/>
      <c r="Q13" s="21"/>
      <c r="R13" s="21"/>
      <c r="S13" s="21"/>
      <c r="T13" s="21"/>
      <c r="U13" s="17"/>
      <c r="V13" s="17"/>
      <c r="W13" s="17"/>
      <c r="X13" s="17"/>
      <c r="Y13" s="17"/>
      <c r="Z13" s="17"/>
      <c r="AA13" s="19"/>
      <c r="AB13" s="21">
        <f t="shared" si="8"/>
        <v>0</v>
      </c>
      <c r="AC13" s="17">
        <f t="shared" si="5"/>
        <v>0</v>
      </c>
      <c r="AD13" s="18">
        <f t="shared" si="9"/>
        <v>0</v>
      </c>
      <c r="AE13" s="19">
        <f t="shared" ca="1" si="10"/>
        <v>7</v>
      </c>
      <c r="AF13" s="19">
        <f ca="1">IF(AND(AI13&lt;&gt;"",DBoard!$P$5&lt;=AI13),AD13+AE13,AE13)</f>
        <v>7</v>
      </c>
      <c r="AG13" s="17"/>
      <c r="AH13" s="17">
        <f t="shared" ca="1" si="11"/>
        <v>7</v>
      </c>
      <c r="AI13" s="41" t="s">
        <v>246</v>
      </c>
      <c r="AJ13" s="19"/>
      <c r="AK13" s="19">
        <f t="shared" ca="1" si="6"/>
        <v>0</v>
      </c>
      <c r="AL13" s="49">
        <v>73415</v>
      </c>
      <c r="AM13" s="22"/>
      <c r="AN13" s="22"/>
    </row>
    <row r="14" spans="1:42" s="23" customFormat="1" ht="14.25" customHeight="1" x14ac:dyDescent="0.3">
      <c r="A14" s="33">
        <f t="shared" si="7"/>
        <v>9</v>
      </c>
      <c r="B14" s="42" t="str">
        <f>INDEX('Data DSNV'!G:G,MATCH('Phép 2020'!D14,'Data DSNV'!C:C,0),1)</f>
        <v>03. Phòng Kế toán</v>
      </c>
      <c r="C14" s="42" t="str">
        <f>INDEX('Data DSNV'!B:B,MATCH('Phép 2020'!D14,'Data DSNV'!C:C,0),1)</f>
        <v>Đang làm việc</v>
      </c>
      <c r="D14" s="47" t="s">
        <v>45</v>
      </c>
      <c r="E14" s="42" t="str">
        <f>INDEX('Data DSNV'!E:E,MATCH('Phép 2020'!D14,'Data DSNV'!C:C,0),1)</f>
        <v>Phạm Thị Thanh Thúy</v>
      </c>
      <c r="F14" s="140" t="str">
        <f>INDEX('Data DSNV'!I:I,MATCH('Phép 2020'!D14,'Data DSNV'!C:C,0),1)</f>
        <v>Nhân viên Kế toán thuế</v>
      </c>
      <c r="G14" s="16">
        <f>INDEX('Data DSNV'!AI:AI,MATCH('Phép 2020'!D14,'Data DSNV'!C:C,0),1)</f>
        <v>40756</v>
      </c>
      <c r="H14" s="16">
        <f>INDEX('Data DSNV'!AL:AL,MATCH('Phép 2020'!D14,'Data DSNV'!C:C,0),1)</f>
        <v>40816</v>
      </c>
      <c r="I14" s="39">
        <f t="shared" ca="1" si="1"/>
        <v>9.1205479452054803</v>
      </c>
      <c r="J14" s="29">
        <f t="shared" ca="1" si="2"/>
        <v>1.8241095890410961</v>
      </c>
      <c r="K14" s="31">
        <f t="shared" ca="1" si="3"/>
        <v>1</v>
      </c>
      <c r="L14" s="17">
        <f ca="1">ROUND(IF(G14&lt;=DBoard!$C$5,12,(DBoard!$E$5-G14)/30),0.5)+K14</f>
        <v>13</v>
      </c>
      <c r="M14" s="18"/>
      <c r="N14" s="19">
        <f ca="1">IF(OR(AND(G14&lt;=AL14,AL14&lt;DBoard!$C$5),G14=AL14,AL14=DBoard!$C$5,(AL14-G14)&lt;15,G14&gt;=DBoard!$J$5),0,
IF(OR(AND(G14=DBoard!$H$5,AL14&gt;DBoard!$J$5),AND(G14&gt;DBoard!$H$5,DAY(G14)&lt;15,AL14&gt;=DBoard!$L$5)),1,
IF(AND(G14&lt;=DBoard!$C$5,AL14&lt;DBoard!$H$5,DAY(AL14)&gt;=15),MONTH(AL14),
IF(AND(G14&lt;=DBoard!$C$5,AL14&lt;DBoard!$H$5,DAY(AL14)&lt;15),MONTH(AL14)-1,
IF(AND(G14&lt;=DBoard!$C$5,AL14&gt;DBoard!$J$5),DBoard!$N$5,
IF(AND(G14&lt;=DBoard!$C$5,(AL14-DBoard!$H$5)&lt;15,(AL14-DBoard!$H$5)&gt;=0),DBoard!$N$5-1,
IF(OR(AND(G14&lt;DBoard!$H$5,DAY(G14)&lt;15,AL14&gt;=DBoard!$H$5,DAY(AL14)&lt;15),AND(G14&lt;DBoard!$H$5,DAY(G14)&gt;=15,AL14&gt;DBoard!$J$5)),DBoard!$N$5-MONTH(G14),
IF(AND(G14&lt;DBoard!$H$5,DAY(G14)&lt;15,AL14&gt;DBoard!$J$5),DBoard!$N$5-MONTH(G14)+1,
IF(AND(G14&lt;DBoard!$H$5,DAY(G14)&gt;=15,AL14&gt;=DBoard!$H$5,DAY(AL14)&lt;=15),DBoard!$N$5-MONTH(G14)-1,
IF(AND(G14&lt;DBoard!$H$5,DAY(G14)&lt;15,DAY(AL14)&lt;15,AL14&lt;DBoard!$H$5),MONTH(AL14)-MONTH(G14),
IF(AND(G14&lt;DBoard!$H$5,DAY(G14)&lt;15,DAY(AL14)&gt;=15,AL14&lt;DBoard!$H$5),MONTH(AL14)-MONTH(G14)+1,
IF(AND(G14&lt;DBoard!$H$5,DAY(G14)&gt;=15,DAY(AL14)&lt;15,AL14&lt;DBoard!$H$5),MONTH(AL14)-MONTH(G14)-1,
IF(AND(G14&lt;DBoard!$H$5,DAY(G14)&gt;=15,DAY(AL14)&gt;=15,AL14&lt;DBoard!$H$5),MONTH(AL14)-MONTH(G14),
0)))))))))))))+K14</f>
        <v>7</v>
      </c>
      <c r="O14" s="20">
        <f t="shared" ca="1" si="4"/>
        <v>7</v>
      </c>
      <c r="P14" s="21"/>
      <c r="Q14" s="21"/>
      <c r="R14" s="21"/>
      <c r="S14" s="21"/>
      <c r="T14" s="21"/>
      <c r="U14" s="17"/>
      <c r="V14" s="17"/>
      <c r="W14" s="17"/>
      <c r="X14" s="17"/>
      <c r="Y14" s="17"/>
      <c r="Z14" s="17"/>
      <c r="AA14" s="19"/>
      <c r="AB14" s="21">
        <f t="shared" si="8"/>
        <v>0</v>
      </c>
      <c r="AC14" s="17">
        <f t="shared" si="5"/>
        <v>0</v>
      </c>
      <c r="AD14" s="18">
        <f t="shared" si="9"/>
        <v>0</v>
      </c>
      <c r="AE14" s="19">
        <f t="shared" ca="1" si="10"/>
        <v>7</v>
      </c>
      <c r="AF14" s="19">
        <f ca="1">IF(AND(AI14&lt;&gt;"",DBoard!$P$5&lt;=AI14),AD14+AE14,AE14)</f>
        <v>7</v>
      </c>
      <c r="AG14" s="17"/>
      <c r="AH14" s="17">
        <f t="shared" ca="1" si="11"/>
        <v>7</v>
      </c>
      <c r="AI14" s="41" t="s">
        <v>246</v>
      </c>
      <c r="AJ14" s="19"/>
      <c r="AK14" s="19">
        <f t="shared" ca="1" si="6"/>
        <v>0</v>
      </c>
      <c r="AL14" s="49">
        <v>73415</v>
      </c>
      <c r="AM14" s="22"/>
      <c r="AN14" s="22"/>
    </row>
    <row r="15" spans="1:42" s="23" customFormat="1" ht="14.25" customHeight="1" x14ac:dyDescent="0.3">
      <c r="A15" s="33">
        <f t="shared" si="7"/>
        <v>10</v>
      </c>
      <c r="B15" s="42" t="str">
        <f>INDEX('Data DSNV'!G:G,MATCH('Phép 2020'!D15,'Data DSNV'!C:C,0),1)</f>
        <v>03. Phòng Kế toán</v>
      </c>
      <c r="C15" s="42" t="str">
        <f>INDEX('Data DSNV'!B:B,MATCH('Phép 2020'!D15,'Data DSNV'!C:C,0),1)</f>
        <v>Đang làm việc</v>
      </c>
      <c r="D15" s="47" t="s">
        <v>33</v>
      </c>
      <c r="E15" s="42" t="str">
        <f>INDEX('Data DSNV'!E:E,MATCH('Phép 2020'!D15,'Data DSNV'!C:C,0),1)</f>
        <v>Đặng Thị Loan</v>
      </c>
      <c r="F15" s="140" t="str">
        <f>INDEX('Data DSNV'!I:I,MATCH('Phép 2020'!D15,'Data DSNV'!C:C,0),1)</f>
        <v>Trưởng phòng Kế toán</v>
      </c>
      <c r="G15" s="16">
        <f>INDEX('Data DSNV'!AI:AI,MATCH('Phép 2020'!D15,'Data DSNV'!C:C,0),1)</f>
        <v>41609</v>
      </c>
      <c r="H15" s="16">
        <f>INDEX('Data DSNV'!AL:AL,MATCH('Phép 2020'!D15,'Data DSNV'!C:C,0),1)</f>
        <v>41669</v>
      </c>
      <c r="I15" s="39">
        <f t="shared" ca="1" si="1"/>
        <v>6.7835616438356166</v>
      </c>
      <c r="J15" s="29">
        <f t="shared" ca="1" si="2"/>
        <v>1.3567123287671232</v>
      </c>
      <c r="K15" s="31">
        <f t="shared" ca="1" si="3"/>
        <v>1</v>
      </c>
      <c r="L15" s="17">
        <f ca="1">ROUND(IF(G15&lt;=DBoard!$C$5,12,(DBoard!$E$5-G15)/30),0.5)+K15</f>
        <v>13</v>
      </c>
      <c r="M15" s="18"/>
      <c r="N15" s="19">
        <f ca="1">IF(OR(AND(G15&lt;=AL15,AL15&lt;DBoard!$C$5),G15=AL15,AL15=DBoard!$C$5,(AL15-G15)&lt;15,G15&gt;=DBoard!$J$5),0,
IF(OR(AND(G15=DBoard!$H$5,AL15&gt;DBoard!$J$5),AND(G15&gt;DBoard!$H$5,DAY(G15)&lt;15,AL15&gt;=DBoard!$L$5)),1,
IF(AND(G15&lt;=DBoard!$C$5,AL15&lt;DBoard!$H$5,DAY(AL15)&gt;=15),MONTH(AL15),
IF(AND(G15&lt;=DBoard!$C$5,AL15&lt;DBoard!$H$5,DAY(AL15)&lt;15),MONTH(AL15)-1,
IF(AND(G15&lt;=DBoard!$C$5,AL15&gt;DBoard!$J$5),DBoard!$N$5,
IF(AND(G15&lt;=DBoard!$C$5,(AL15-DBoard!$H$5)&lt;15,(AL15-DBoard!$H$5)&gt;=0),DBoard!$N$5-1,
IF(OR(AND(G15&lt;DBoard!$H$5,DAY(G15)&lt;15,AL15&gt;=DBoard!$H$5,DAY(AL15)&lt;15),AND(G15&lt;DBoard!$H$5,DAY(G15)&gt;=15,AL15&gt;DBoard!$J$5)),DBoard!$N$5-MONTH(G15),
IF(AND(G15&lt;DBoard!$H$5,DAY(G15)&lt;15,AL15&gt;DBoard!$J$5),DBoard!$N$5-MONTH(G15)+1,
IF(AND(G15&lt;DBoard!$H$5,DAY(G15)&gt;=15,AL15&gt;=DBoard!$H$5,DAY(AL15)&lt;=15),DBoard!$N$5-MONTH(G15)-1,
IF(AND(G15&lt;DBoard!$H$5,DAY(G15)&lt;15,DAY(AL15)&lt;15,AL15&lt;DBoard!$H$5),MONTH(AL15)-MONTH(G15),
IF(AND(G15&lt;DBoard!$H$5,DAY(G15)&lt;15,DAY(AL15)&gt;=15,AL15&lt;DBoard!$H$5),MONTH(AL15)-MONTH(G15)+1,
IF(AND(G15&lt;DBoard!$H$5,DAY(G15)&gt;=15,DAY(AL15)&lt;15,AL15&lt;DBoard!$H$5),MONTH(AL15)-MONTH(G15)-1,
IF(AND(G15&lt;DBoard!$H$5,DAY(G15)&gt;=15,DAY(AL15)&gt;=15,AL15&lt;DBoard!$H$5),MONTH(AL15)-MONTH(G15),
0)))))))))))))+K15</f>
        <v>7</v>
      </c>
      <c r="O15" s="20">
        <f t="shared" ca="1" si="4"/>
        <v>7</v>
      </c>
      <c r="P15" s="21"/>
      <c r="Q15" s="21"/>
      <c r="R15" s="21"/>
      <c r="S15" s="21"/>
      <c r="T15" s="21"/>
      <c r="U15" s="17"/>
      <c r="V15" s="17"/>
      <c r="W15" s="17"/>
      <c r="X15" s="17"/>
      <c r="Y15" s="17"/>
      <c r="Z15" s="17"/>
      <c r="AA15" s="19"/>
      <c r="AB15" s="21">
        <f t="shared" si="8"/>
        <v>0</v>
      </c>
      <c r="AC15" s="17">
        <f t="shared" si="5"/>
        <v>0</v>
      </c>
      <c r="AD15" s="18">
        <f t="shared" si="9"/>
        <v>0</v>
      </c>
      <c r="AE15" s="19">
        <f t="shared" ca="1" si="10"/>
        <v>7</v>
      </c>
      <c r="AF15" s="19">
        <f ca="1">IF(AND(AI15&lt;&gt;"",DBoard!$P$5&lt;=AI15),AD15+AE15,AE15)</f>
        <v>7</v>
      </c>
      <c r="AG15" s="17"/>
      <c r="AH15" s="17">
        <f t="shared" ca="1" si="11"/>
        <v>7</v>
      </c>
      <c r="AI15" s="41" t="s">
        <v>246</v>
      </c>
      <c r="AJ15" s="19"/>
      <c r="AK15" s="19">
        <f t="shared" ca="1" si="6"/>
        <v>0</v>
      </c>
      <c r="AL15" s="49">
        <v>73415</v>
      </c>
      <c r="AM15" s="22"/>
      <c r="AN15" s="22"/>
    </row>
    <row r="16" spans="1:42" s="23" customFormat="1" ht="14.25" customHeight="1" x14ac:dyDescent="0.3">
      <c r="A16" s="33">
        <f t="shared" si="7"/>
        <v>11</v>
      </c>
      <c r="B16" s="42" t="str">
        <f>INDEX('Data DSNV'!G:G,MATCH('Phép 2020'!D16,'Data DSNV'!C:C,0),1)</f>
        <v>03. Phòng Kế toán</v>
      </c>
      <c r="C16" s="42" t="str">
        <f>INDEX('Data DSNV'!B:B,MATCH('Phép 2020'!D16,'Data DSNV'!C:C,0),1)</f>
        <v>Đang làm việc</v>
      </c>
      <c r="D16" s="47" t="s">
        <v>32</v>
      </c>
      <c r="E16" s="42" t="str">
        <f>INDEX('Data DSNV'!E:E,MATCH('Phép 2020'!D16,'Data DSNV'!C:C,0),1)</f>
        <v>Ngô Thị Dung</v>
      </c>
      <c r="F16" s="140" t="str">
        <f>INDEX('Data DSNV'!I:I,MATCH('Phép 2020'!D16,'Data DSNV'!C:C,0),1)</f>
        <v>Nhân viên Kế toán tổng hợp</v>
      </c>
      <c r="G16" s="16">
        <f>INDEX('Data DSNV'!AI:AI,MATCH('Phép 2020'!D16,'Data DSNV'!C:C,0),1)</f>
        <v>43053</v>
      </c>
      <c r="H16" s="16">
        <f>INDEX('Data DSNV'!AL:AL,MATCH('Phép 2020'!D16,'Data DSNV'!C:C,0),1)</f>
        <v>43113</v>
      </c>
      <c r="I16" s="39">
        <f t="shared" ca="1" si="1"/>
        <v>2.8273972602739725</v>
      </c>
      <c r="J16" s="29">
        <f t="shared" ca="1" si="2"/>
        <v>0.56547945205479455</v>
      </c>
      <c r="K16" s="31">
        <f t="shared" ca="1" si="3"/>
        <v>0</v>
      </c>
      <c r="L16" s="17">
        <f ca="1">ROUND(IF(G16&lt;=DBoard!$C$5,12,(DBoard!$E$5-G16)/30),0.5)+K16</f>
        <v>12</v>
      </c>
      <c r="M16" s="18"/>
      <c r="N16" s="19">
        <f ca="1">IF(OR(AND(G16&lt;=AL16,AL16&lt;DBoard!$C$5),G16=AL16,AL16=DBoard!$C$5,(AL16-G16)&lt;15,G16&gt;=DBoard!$J$5),0,
IF(OR(AND(G16=DBoard!$H$5,AL16&gt;DBoard!$J$5),AND(G16&gt;DBoard!$H$5,DAY(G16)&lt;15,AL16&gt;=DBoard!$L$5)),1,
IF(AND(G16&lt;=DBoard!$C$5,AL16&lt;DBoard!$H$5,DAY(AL16)&gt;=15),MONTH(AL16),
IF(AND(G16&lt;=DBoard!$C$5,AL16&lt;DBoard!$H$5,DAY(AL16)&lt;15),MONTH(AL16)-1,
IF(AND(G16&lt;=DBoard!$C$5,AL16&gt;DBoard!$J$5),DBoard!$N$5,
IF(AND(G16&lt;=DBoard!$C$5,(AL16-DBoard!$H$5)&lt;15,(AL16-DBoard!$H$5)&gt;=0),DBoard!$N$5-1,
IF(OR(AND(G16&lt;DBoard!$H$5,DAY(G16)&lt;15,AL16&gt;=DBoard!$H$5,DAY(AL16)&lt;15),AND(G16&lt;DBoard!$H$5,DAY(G16)&gt;=15,AL16&gt;DBoard!$J$5)),DBoard!$N$5-MONTH(G16),
IF(AND(G16&lt;DBoard!$H$5,DAY(G16)&lt;15,AL16&gt;DBoard!$J$5),DBoard!$N$5-MONTH(G16)+1,
IF(AND(G16&lt;DBoard!$H$5,DAY(G16)&gt;=15,AL16&gt;=DBoard!$H$5,DAY(AL16)&lt;=15),DBoard!$N$5-MONTH(G16)-1,
IF(AND(G16&lt;DBoard!$H$5,DAY(G16)&lt;15,DAY(AL16)&lt;15,AL16&lt;DBoard!$H$5),MONTH(AL16)-MONTH(G16),
IF(AND(G16&lt;DBoard!$H$5,DAY(G16)&lt;15,DAY(AL16)&gt;=15,AL16&lt;DBoard!$H$5),MONTH(AL16)-MONTH(G16)+1,
IF(AND(G16&lt;DBoard!$H$5,DAY(G16)&gt;=15,DAY(AL16)&lt;15,AL16&lt;DBoard!$H$5),MONTH(AL16)-MONTH(G16)-1,
IF(AND(G16&lt;DBoard!$H$5,DAY(G16)&gt;=15,DAY(AL16)&gt;=15,AL16&lt;DBoard!$H$5),MONTH(AL16)-MONTH(G16),
0)))))))))))))+K16</f>
        <v>6</v>
      </c>
      <c r="O16" s="20">
        <f t="shared" ca="1" si="4"/>
        <v>6</v>
      </c>
      <c r="P16" s="21"/>
      <c r="Q16" s="21"/>
      <c r="R16" s="21"/>
      <c r="S16" s="21"/>
      <c r="T16" s="21"/>
      <c r="U16" s="17"/>
      <c r="V16" s="17"/>
      <c r="W16" s="17"/>
      <c r="X16" s="17"/>
      <c r="Y16" s="17"/>
      <c r="Z16" s="17"/>
      <c r="AA16" s="19"/>
      <c r="AB16" s="21">
        <f t="shared" si="8"/>
        <v>0</v>
      </c>
      <c r="AC16" s="17">
        <f t="shared" si="5"/>
        <v>0</v>
      </c>
      <c r="AD16" s="18">
        <f t="shared" si="9"/>
        <v>0</v>
      </c>
      <c r="AE16" s="19">
        <f t="shared" ca="1" si="10"/>
        <v>6</v>
      </c>
      <c r="AF16" s="19">
        <f ca="1">IF(AND(AI16&lt;&gt;"",DBoard!$P$5&lt;=AI16),AD16+AE16,AE16)</f>
        <v>6</v>
      </c>
      <c r="AG16" s="17"/>
      <c r="AH16" s="17">
        <f t="shared" ca="1" si="11"/>
        <v>6</v>
      </c>
      <c r="AI16" s="41" t="s">
        <v>246</v>
      </c>
      <c r="AJ16" s="19"/>
      <c r="AK16" s="19">
        <f t="shared" ca="1" si="6"/>
        <v>0</v>
      </c>
      <c r="AL16" s="49">
        <v>73415</v>
      </c>
      <c r="AM16" s="22"/>
      <c r="AN16" s="22"/>
    </row>
    <row r="17" spans="1:40" s="23" customFormat="1" ht="14.25" customHeight="1" x14ac:dyDescent="0.3">
      <c r="A17" s="33">
        <f t="shared" si="7"/>
        <v>12</v>
      </c>
      <c r="B17" s="42" t="str">
        <f>INDEX('Data DSNV'!G:G,MATCH('Phép 2020'!D17,'Data DSNV'!C:C,0),1)</f>
        <v>04. Cửa hàng 01</v>
      </c>
      <c r="C17" s="42" t="str">
        <f>INDEX('Data DSNV'!B:B,MATCH('Phép 2020'!D17,'Data DSNV'!C:C,0),1)</f>
        <v>Đang làm việc</v>
      </c>
      <c r="D17" s="47" t="s">
        <v>36</v>
      </c>
      <c r="E17" s="42" t="str">
        <f>INDEX('Data DSNV'!E:E,MATCH('Phép 2020'!D17,'Data DSNV'!C:C,0),1)</f>
        <v>Phạm Thị Hằng</v>
      </c>
      <c r="F17" s="140" t="str">
        <f>INDEX('Data DSNV'!I:I,MATCH('Phép 2020'!D17,'Data DSNV'!C:C,0),1)</f>
        <v>Cửa hàng trưởng</v>
      </c>
      <c r="G17" s="16">
        <f>INDEX('Data DSNV'!AI:AI,MATCH('Phép 2020'!D17,'Data DSNV'!C:C,0),1)</f>
        <v>39083</v>
      </c>
      <c r="H17" s="16">
        <f>INDEX('Data DSNV'!AL:AL,MATCH('Phép 2020'!D17,'Data DSNV'!C:C,0),1)</f>
        <v>39143</v>
      </c>
      <c r="I17" s="39">
        <f t="shared" ca="1" si="1"/>
        <v>13.704109589041096</v>
      </c>
      <c r="J17" s="29">
        <f t="shared" ca="1" si="2"/>
        <v>2.7408219178082192</v>
      </c>
      <c r="K17" s="31">
        <f t="shared" ca="1" si="3"/>
        <v>2</v>
      </c>
      <c r="L17" s="17">
        <f ca="1">ROUND(IF(G17&lt;=DBoard!$C$5,12,(DBoard!$E$5-G17)/30),0.5)+K17</f>
        <v>14</v>
      </c>
      <c r="M17" s="18"/>
      <c r="N17" s="19">
        <f ca="1">IF(OR(AND(G17&lt;=AL17,AL17&lt;DBoard!$C$5),G17=AL17,AL17=DBoard!$C$5,(AL17-G17)&lt;15,G17&gt;=DBoard!$J$5),0,
IF(OR(AND(G17=DBoard!$H$5,AL17&gt;DBoard!$J$5),AND(G17&gt;DBoard!$H$5,DAY(G17)&lt;15,AL17&gt;=DBoard!$L$5)),1,
IF(AND(G17&lt;=DBoard!$C$5,AL17&lt;DBoard!$H$5,DAY(AL17)&gt;=15),MONTH(AL17),
IF(AND(G17&lt;=DBoard!$C$5,AL17&lt;DBoard!$H$5,DAY(AL17)&lt;15),MONTH(AL17)-1,
IF(AND(G17&lt;=DBoard!$C$5,AL17&gt;DBoard!$J$5),DBoard!$N$5,
IF(AND(G17&lt;=DBoard!$C$5,(AL17-DBoard!$H$5)&lt;15,(AL17-DBoard!$H$5)&gt;=0),DBoard!$N$5-1,
IF(OR(AND(G17&lt;DBoard!$H$5,DAY(G17)&lt;15,AL17&gt;=DBoard!$H$5,DAY(AL17)&lt;15),AND(G17&lt;DBoard!$H$5,DAY(G17)&gt;=15,AL17&gt;DBoard!$J$5)),DBoard!$N$5-MONTH(G17),
IF(AND(G17&lt;DBoard!$H$5,DAY(G17)&lt;15,AL17&gt;DBoard!$J$5),DBoard!$N$5-MONTH(G17)+1,
IF(AND(G17&lt;DBoard!$H$5,DAY(G17)&gt;=15,AL17&gt;=DBoard!$H$5,DAY(AL17)&lt;=15),DBoard!$N$5-MONTH(G17)-1,
IF(AND(G17&lt;DBoard!$H$5,DAY(G17)&lt;15,DAY(AL17)&lt;15,AL17&lt;DBoard!$H$5),MONTH(AL17)-MONTH(G17),
IF(AND(G17&lt;DBoard!$H$5,DAY(G17)&lt;15,DAY(AL17)&gt;=15,AL17&lt;DBoard!$H$5),MONTH(AL17)-MONTH(G17)+1,
IF(AND(G17&lt;DBoard!$H$5,DAY(G17)&gt;=15,DAY(AL17)&lt;15,AL17&lt;DBoard!$H$5),MONTH(AL17)-MONTH(G17)-1,
IF(AND(G17&lt;DBoard!$H$5,DAY(G17)&gt;=15,DAY(AL17)&gt;=15,AL17&lt;DBoard!$H$5),MONTH(AL17)-MONTH(G17),
0)))))))))))))+K17</f>
        <v>8</v>
      </c>
      <c r="O17" s="20">
        <f t="shared" ca="1" si="4"/>
        <v>8</v>
      </c>
      <c r="P17" s="21"/>
      <c r="Q17" s="21"/>
      <c r="R17" s="21"/>
      <c r="S17" s="21"/>
      <c r="T17" s="21"/>
      <c r="U17" s="17"/>
      <c r="V17" s="17"/>
      <c r="W17" s="17"/>
      <c r="X17" s="17"/>
      <c r="Y17" s="17"/>
      <c r="Z17" s="17"/>
      <c r="AA17" s="19"/>
      <c r="AB17" s="21">
        <f t="shared" si="8"/>
        <v>0</v>
      </c>
      <c r="AC17" s="17">
        <f t="shared" si="5"/>
        <v>0</v>
      </c>
      <c r="AD17" s="18">
        <f t="shared" si="9"/>
        <v>0</v>
      </c>
      <c r="AE17" s="19">
        <f t="shared" ca="1" si="10"/>
        <v>8</v>
      </c>
      <c r="AF17" s="19">
        <f ca="1">IF(AND(AI17&lt;&gt;"",DBoard!$P$5&lt;=AI17),AD17+AE17,AE17)</f>
        <v>8</v>
      </c>
      <c r="AG17" s="17"/>
      <c r="AH17" s="17">
        <f t="shared" ca="1" si="11"/>
        <v>8</v>
      </c>
      <c r="AI17" s="41" t="s">
        <v>246</v>
      </c>
      <c r="AJ17" s="19"/>
      <c r="AK17" s="19">
        <f t="shared" ca="1" si="6"/>
        <v>0</v>
      </c>
      <c r="AL17" s="49">
        <v>73415</v>
      </c>
      <c r="AM17" s="22"/>
      <c r="AN17" s="22"/>
    </row>
    <row r="18" spans="1:40" s="23" customFormat="1" ht="14.25" customHeight="1" x14ac:dyDescent="0.3">
      <c r="A18" s="33">
        <f t="shared" si="7"/>
        <v>13</v>
      </c>
      <c r="B18" s="42" t="str">
        <f>INDEX('Data DSNV'!G:G,MATCH('Phép 2020'!D18,'Data DSNV'!C:C,0),1)</f>
        <v>04. Cửa hàng 01</v>
      </c>
      <c r="C18" s="42" t="str">
        <f>INDEX('Data DSNV'!B:B,MATCH('Phép 2020'!D18,'Data DSNV'!C:C,0),1)</f>
        <v>Đang làm việc</v>
      </c>
      <c r="D18" s="47" t="s">
        <v>35</v>
      </c>
      <c r="E18" s="42" t="str">
        <f>INDEX('Data DSNV'!E:E,MATCH('Phép 2020'!D18,'Data DSNV'!C:C,0),1)</f>
        <v>Trần Thị Thu</v>
      </c>
      <c r="F18" s="140" t="str">
        <f>INDEX('Data DSNV'!I:I,MATCH('Phép 2020'!D18,'Data DSNV'!C:C,0),1)</f>
        <v>Nhân viên Bán hàng</v>
      </c>
      <c r="G18" s="16">
        <f>INDEX('Data DSNV'!AI:AI,MATCH('Phép 2020'!D18,'Data DSNV'!C:C,0),1)</f>
        <v>41866</v>
      </c>
      <c r="H18" s="16">
        <f>INDEX('Data DSNV'!AL:AL,MATCH('Phép 2020'!D18,'Data DSNV'!C:C,0),1)</f>
        <v>41926</v>
      </c>
      <c r="I18" s="39">
        <f t="shared" ca="1" si="1"/>
        <v>6.0794520547945208</v>
      </c>
      <c r="J18" s="29">
        <f t="shared" ca="1" si="2"/>
        <v>1.2158904109589042</v>
      </c>
      <c r="K18" s="31">
        <f t="shared" ca="1" si="3"/>
        <v>1</v>
      </c>
      <c r="L18" s="17">
        <f ca="1">ROUND(IF(G18&lt;=DBoard!$C$5,12,(DBoard!$E$5-G18)/30),0.5)+K18</f>
        <v>13</v>
      </c>
      <c r="M18" s="18"/>
      <c r="N18" s="19">
        <f ca="1">IF(OR(AND(G18&lt;=AL18,AL18&lt;DBoard!$C$5),G18=AL18,AL18=DBoard!$C$5,(AL18-G18)&lt;15,G18&gt;=DBoard!$J$5),0,
IF(OR(AND(G18=DBoard!$H$5,AL18&gt;DBoard!$J$5),AND(G18&gt;DBoard!$H$5,DAY(G18)&lt;15,AL18&gt;=DBoard!$L$5)),1,
IF(AND(G18&lt;=DBoard!$C$5,AL18&lt;DBoard!$H$5,DAY(AL18)&gt;=15),MONTH(AL18),
IF(AND(G18&lt;=DBoard!$C$5,AL18&lt;DBoard!$H$5,DAY(AL18)&lt;15),MONTH(AL18)-1,
IF(AND(G18&lt;=DBoard!$C$5,AL18&gt;DBoard!$J$5),DBoard!$N$5,
IF(AND(G18&lt;=DBoard!$C$5,(AL18-DBoard!$H$5)&lt;15,(AL18-DBoard!$H$5)&gt;=0),DBoard!$N$5-1,
IF(OR(AND(G18&lt;DBoard!$H$5,DAY(G18)&lt;15,AL18&gt;=DBoard!$H$5,DAY(AL18)&lt;15),AND(G18&lt;DBoard!$H$5,DAY(G18)&gt;=15,AL18&gt;DBoard!$J$5)),DBoard!$N$5-MONTH(G18),
IF(AND(G18&lt;DBoard!$H$5,DAY(G18)&lt;15,AL18&gt;DBoard!$J$5),DBoard!$N$5-MONTH(G18)+1,
IF(AND(G18&lt;DBoard!$H$5,DAY(G18)&gt;=15,AL18&gt;=DBoard!$H$5,DAY(AL18)&lt;=15),DBoard!$N$5-MONTH(G18)-1,
IF(AND(G18&lt;DBoard!$H$5,DAY(G18)&lt;15,DAY(AL18)&lt;15,AL18&lt;DBoard!$H$5),MONTH(AL18)-MONTH(G18),
IF(AND(G18&lt;DBoard!$H$5,DAY(G18)&lt;15,DAY(AL18)&gt;=15,AL18&lt;DBoard!$H$5),MONTH(AL18)-MONTH(G18)+1,
IF(AND(G18&lt;DBoard!$H$5,DAY(G18)&gt;=15,DAY(AL18)&lt;15,AL18&lt;DBoard!$H$5),MONTH(AL18)-MONTH(G18)-1,
IF(AND(G18&lt;DBoard!$H$5,DAY(G18)&gt;=15,DAY(AL18)&gt;=15,AL18&lt;DBoard!$H$5),MONTH(AL18)-MONTH(G18),
0)))))))))))))+K18</f>
        <v>7</v>
      </c>
      <c r="O18" s="20">
        <f t="shared" ca="1" si="4"/>
        <v>7</v>
      </c>
      <c r="P18" s="21"/>
      <c r="Q18" s="21"/>
      <c r="R18" s="21"/>
      <c r="S18" s="21"/>
      <c r="T18" s="21"/>
      <c r="U18" s="17"/>
      <c r="V18" s="17"/>
      <c r="W18" s="17"/>
      <c r="X18" s="17"/>
      <c r="Y18" s="17"/>
      <c r="Z18" s="17"/>
      <c r="AA18" s="19"/>
      <c r="AB18" s="21">
        <f t="shared" si="8"/>
        <v>0</v>
      </c>
      <c r="AC18" s="17">
        <f t="shared" si="5"/>
        <v>0</v>
      </c>
      <c r="AD18" s="18">
        <f t="shared" si="9"/>
        <v>0</v>
      </c>
      <c r="AE18" s="19">
        <f t="shared" ca="1" si="10"/>
        <v>7</v>
      </c>
      <c r="AF18" s="19">
        <f ca="1">IF(AND(AI18&lt;&gt;"",DBoard!$P$5&lt;=AI18),AD18+AE18,AE18)</f>
        <v>7</v>
      </c>
      <c r="AG18" s="17"/>
      <c r="AH18" s="17">
        <f t="shared" ca="1" si="11"/>
        <v>7</v>
      </c>
      <c r="AI18" s="41" t="s">
        <v>246</v>
      </c>
      <c r="AJ18" s="19"/>
      <c r="AK18" s="19">
        <f t="shared" ca="1" si="6"/>
        <v>0</v>
      </c>
      <c r="AL18" s="49">
        <v>73415</v>
      </c>
      <c r="AM18" s="22"/>
      <c r="AN18" s="22"/>
    </row>
    <row r="19" spans="1:40" s="23" customFormat="1" ht="13.5" customHeight="1" x14ac:dyDescent="0.3">
      <c r="A19" s="33">
        <f t="shared" si="7"/>
        <v>14</v>
      </c>
      <c r="B19" s="42" t="str">
        <f>INDEX('Data DSNV'!G:G,MATCH('Phép 2020'!D19,'Data DSNV'!C:C,0),1)</f>
        <v>04. Cửa hàng 01</v>
      </c>
      <c r="C19" s="42" t="str">
        <f>INDEX('Data DSNV'!B:B,MATCH('Phép 2020'!D19,'Data DSNV'!C:C,0),1)</f>
        <v>Đang làm việc</v>
      </c>
      <c r="D19" s="47" t="s">
        <v>38</v>
      </c>
      <c r="E19" s="42" t="str">
        <f>INDEX('Data DSNV'!E:E,MATCH('Phép 2020'!D19,'Data DSNV'!C:C,0),1)</f>
        <v>Công Thị Thanh Hiếu</v>
      </c>
      <c r="F19" s="140" t="str">
        <f>INDEX('Data DSNV'!I:I,MATCH('Phép 2020'!D19,'Data DSNV'!C:C,0),1)</f>
        <v>Nhân viên Bán hàng</v>
      </c>
      <c r="G19" s="16">
        <f>INDEX('Data DSNV'!AI:AI,MATCH('Phép 2020'!D19,'Data DSNV'!C:C,0),1)</f>
        <v>41939</v>
      </c>
      <c r="H19" s="16">
        <f>INDEX('Data DSNV'!AL:AL,MATCH('Phép 2020'!D19,'Data DSNV'!C:C,0),1)</f>
        <v>41999</v>
      </c>
      <c r="I19" s="39">
        <f t="shared" ca="1" si="1"/>
        <v>5.8794520547945206</v>
      </c>
      <c r="J19" s="29">
        <f t="shared" ca="1" si="2"/>
        <v>1.1758904109589041</v>
      </c>
      <c r="K19" s="31">
        <f t="shared" ca="1" si="3"/>
        <v>1</v>
      </c>
      <c r="L19" s="17">
        <f ca="1">ROUND(IF(G19&lt;=DBoard!$C$5,12,(DBoard!$E$5-G19)/30),0.5)+K19</f>
        <v>13</v>
      </c>
      <c r="M19" s="18"/>
      <c r="N19" s="19">
        <f ca="1">IF(OR(AND(G19&lt;=AL19,AL19&lt;DBoard!$C$5),G19=AL19,AL19=DBoard!$C$5,(AL19-G19)&lt;15,G19&gt;=DBoard!$J$5),0,
IF(OR(AND(G19=DBoard!$H$5,AL19&gt;DBoard!$J$5),AND(G19&gt;DBoard!$H$5,DAY(G19)&lt;15,AL19&gt;=DBoard!$L$5)),1,
IF(AND(G19&lt;=DBoard!$C$5,AL19&lt;DBoard!$H$5,DAY(AL19)&gt;=15),MONTH(AL19),
IF(AND(G19&lt;=DBoard!$C$5,AL19&lt;DBoard!$H$5,DAY(AL19)&lt;15),MONTH(AL19)-1,
IF(AND(G19&lt;=DBoard!$C$5,AL19&gt;DBoard!$J$5),DBoard!$N$5,
IF(AND(G19&lt;=DBoard!$C$5,(AL19-DBoard!$H$5)&lt;15,(AL19-DBoard!$H$5)&gt;=0),DBoard!$N$5-1,
IF(OR(AND(G19&lt;DBoard!$H$5,DAY(G19)&lt;15,AL19&gt;=DBoard!$H$5,DAY(AL19)&lt;15),AND(G19&lt;DBoard!$H$5,DAY(G19)&gt;=15,AL19&gt;DBoard!$J$5)),DBoard!$N$5-MONTH(G19),
IF(AND(G19&lt;DBoard!$H$5,DAY(G19)&lt;15,AL19&gt;DBoard!$J$5),DBoard!$N$5-MONTH(G19)+1,
IF(AND(G19&lt;DBoard!$H$5,DAY(G19)&gt;=15,AL19&gt;=DBoard!$H$5,DAY(AL19)&lt;=15),DBoard!$N$5-MONTH(G19)-1,
IF(AND(G19&lt;DBoard!$H$5,DAY(G19)&lt;15,DAY(AL19)&lt;15,AL19&lt;DBoard!$H$5),MONTH(AL19)-MONTH(G19),
IF(AND(G19&lt;DBoard!$H$5,DAY(G19)&lt;15,DAY(AL19)&gt;=15,AL19&lt;DBoard!$H$5),MONTH(AL19)-MONTH(G19)+1,
IF(AND(G19&lt;DBoard!$H$5,DAY(G19)&gt;=15,DAY(AL19)&lt;15,AL19&lt;DBoard!$H$5),MONTH(AL19)-MONTH(G19)-1,
IF(AND(G19&lt;DBoard!$H$5,DAY(G19)&gt;=15,DAY(AL19)&gt;=15,AL19&lt;DBoard!$H$5),MONTH(AL19)-MONTH(G19),
0)))))))))))))+K19</f>
        <v>7</v>
      </c>
      <c r="O19" s="20">
        <f t="shared" ca="1" si="4"/>
        <v>7</v>
      </c>
      <c r="P19" s="21"/>
      <c r="Q19" s="21"/>
      <c r="R19" s="21"/>
      <c r="S19" s="21"/>
      <c r="T19" s="21"/>
      <c r="U19" s="17"/>
      <c r="V19" s="17"/>
      <c r="W19" s="17"/>
      <c r="X19" s="17"/>
      <c r="Y19" s="17"/>
      <c r="Z19" s="17"/>
      <c r="AA19" s="19"/>
      <c r="AB19" s="21">
        <f t="shared" si="8"/>
        <v>0</v>
      </c>
      <c r="AC19" s="17">
        <f t="shared" si="5"/>
        <v>0</v>
      </c>
      <c r="AD19" s="18">
        <f t="shared" si="9"/>
        <v>0</v>
      </c>
      <c r="AE19" s="19">
        <f t="shared" ca="1" si="10"/>
        <v>7</v>
      </c>
      <c r="AF19" s="19">
        <f ca="1">IF(AND(AI19&lt;&gt;"",DBoard!$P$5&lt;=AI19),AD19+AE19,AE19)</f>
        <v>7</v>
      </c>
      <c r="AG19" s="17"/>
      <c r="AH19" s="17">
        <f t="shared" ca="1" si="11"/>
        <v>7</v>
      </c>
      <c r="AI19" s="41" t="s">
        <v>246</v>
      </c>
      <c r="AJ19" s="19"/>
      <c r="AK19" s="19">
        <f t="shared" ca="1" si="6"/>
        <v>0</v>
      </c>
      <c r="AL19" s="49">
        <v>73415</v>
      </c>
      <c r="AM19" s="22"/>
      <c r="AN19" s="22"/>
    </row>
    <row r="20" spans="1:40" s="23" customFormat="1" ht="14.25" customHeight="1" x14ac:dyDescent="0.3">
      <c r="A20" s="33">
        <f t="shared" si="7"/>
        <v>15</v>
      </c>
      <c r="B20" s="42" t="str">
        <f>INDEX('Data DSNV'!G:G,MATCH('Phép 2020'!D20,'Data DSNV'!C:C,0),1)</f>
        <v>04. Cửa hàng 01</v>
      </c>
      <c r="C20" s="42" t="str">
        <f>INDEX('Data DSNV'!B:B,MATCH('Phép 2020'!D20,'Data DSNV'!C:C,0),1)</f>
        <v>Đang làm việc</v>
      </c>
      <c r="D20" s="47" t="s">
        <v>46</v>
      </c>
      <c r="E20" s="42" t="str">
        <f>INDEX('Data DSNV'!E:E,MATCH('Phép 2020'!D20,'Data DSNV'!C:C,0),1)</f>
        <v>Trần Minh Huệ</v>
      </c>
      <c r="F20" s="140" t="str">
        <f>INDEX('Data DSNV'!I:I,MATCH('Phép 2020'!D20,'Data DSNV'!C:C,0),1)</f>
        <v>Nhân viên Bán hàng</v>
      </c>
      <c r="G20" s="16">
        <f>INDEX('Data DSNV'!AI:AI,MATCH('Phép 2020'!D20,'Data DSNV'!C:C,0),1)</f>
        <v>43272</v>
      </c>
      <c r="H20" s="16">
        <f>INDEX('Data DSNV'!AL:AL,MATCH('Phép 2020'!D20,'Data DSNV'!C:C,0),1)</f>
        <v>43332</v>
      </c>
      <c r="I20" s="39">
        <f t="shared" ca="1" si="1"/>
        <v>2.2273972602739724</v>
      </c>
      <c r="J20" s="29">
        <f t="shared" ca="1" si="2"/>
        <v>0.4454794520547945</v>
      </c>
      <c r="K20" s="31">
        <f t="shared" ca="1" si="3"/>
        <v>0</v>
      </c>
      <c r="L20" s="17">
        <f ca="1">ROUND(IF(G20&lt;=DBoard!$C$5,12,(DBoard!$E$5-G20)/30),0.5)+K20</f>
        <v>12</v>
      </c>
      <c r="M20" s="18"/>
      <c r="N20" s="19">
        <f ca="1">IF(OR(AND(G20&lt;=AL20,AL20&lt;DBoard!$C$5),G20=AL20,AL20=DBoard!$C$5,(AL20-G20)&lt;15,G20&gt;=DBoard!$J$5),0,
IF(OR(AND(G20=DBoard!$H$5,AL20&gt;DBoard!$J$5),AND(G20&gt;DBoard!$H$5,DAY(G20)&lt;15,AL20&gt;=DBoard!$L$5)),1,
IF(AND(G20&lt;=DBoard!$C$5,AL20&lt;DBoard!$H$5,DAY(AL20)&gt;=15),MONTH(AL20),
IF(AND(G20&lt;=DBoard!$C$5,AL20&lt;DBoard!$H$5,DAY(AL20)&lt;15),MONTH(AL20)-1,
IF(AND(G20&lt;=DBoard!$C$5,AL20&gt;DBoard!$J$5),DBoard!$N$5,
IF(AND(G20&lt;=DBoard!$C$5,(AL20-DBoard!$H$5)&lt;15,(AL20-DBoard!$H$5)&gt;=0),DBoard!$N$5-1,
IF(OR(AND(G20&lt;DBoard!$H$5,DAY(G20)&lt;15,AL20&gt;=DBoard!$H$5,DAY(AL20)&lt;15),AND(G20&lt;DBoard!$H$5,DAY(G20)&gt;=15,AL20&gt;DBoard!$J$5)),DBoard!$N$5-MONTH(G20),
IF(AND(G20&lt;DBoard!$H$5,DAY(G20)&lt;15,AL20&gt;DBoard!$J$5),DBoard!$N$5-MONTH(G20)+1,
IF(AND(G20&lt;DBoard!$H$5,DAY(G20)&gt;=15,AL20&gt;=DBoard!$H$5,DAY(AL20)&lt;=15),DBoard!$N$5-MONTH(G20)-1,
IF(AND(G20&lt;DBoard!$H$5,DAY(G20)&lt;15,DAY(AL20)&lt;15,AL20&lt;DBoard!$H$5),MONTH(AL20)-MONTH(G20),
IF(AND(G20&lt;DBoard!$H$5,DAY(G20)&lt;15,DAY(AL20)&gt;=15,AL20&lt;DBoard!$H$5),MONTH(AL20)-MONTH(G20)+1,
IF(AND(G20&lt;DBoard!$H$5,DAY(G20)&gt;=15,DAY(AL20)&lt;15,AL20&lt;DBoard!$H$5),MONTH(AL20)-MONTH(G20)-1,
IF(AND(G20&lt;DBoard!$H$5,DAY(G20)&gt;=15,DAY(AL20)&gt;=15,AL20&lt;DBoard!$H$5),MONTH(AL20)-MONTH(G20),
0)))))))))))))+K20</f>
        <v>6</v>
      </c>
      <c r="O20" s="20">
        <f t="shared" ca="1" si="4"/>
        <v>6</v>
      </c>
      <c r="P20" s="21"/>
      <c r="Q20" s="21"/>
      <c r="R20" s="21"/>
      <c r="S20" s="21"/>
      <c r="T20" s="21"/>
      <c r="U20" s="17"/>
      <c r="V20" s="17"/>
      <c r="W20" s="17"/>
      <c r="X20" s="17"/>
      <c r="Y20" s="17"/>
      <c r="Z20" s="17"/>
      <c r="AA20" s="19"/>
      <c r="AB20" s="21">
        <f t="shared" si="8"/>
        <v>0</v>
      </c>
      <c r="AC20" s="17">
        <f t="shared" si="5"/>
        <v>0</v>
      </c>
      <c r="AD20" s="18">
        <f t="shared" si="9"/>
        <v>0</v>
      </c>
      <c r="AE20" s="19">
        <f t="shared" ca="1" si="10"/>
        <v>6</v>
      </c>
      <c r="AF20" s="19">
        <f ca="1">IF(AND(AI20&lt;&gt;"",DBoard!$P$5&lt;=AI20),AD20+AE20,AE20)</f>
        <v>6</v>
      </c>
      <c r="AG20" s="17"/>
      <c r="AH20" s="17">
        <f t="shared" ca="1" si="11"/>
        <v>6</v>
      </c>
      <c r="AI20" s="41" t="s">
        <v>246</v>
      </c>
      <c r="AJ20" s="19"/>
      <c r="AK20" s="19">
        <f t="shared" ca="1" si="6"/>
        <v>0</v>
      </c>
      <c r="AL20" s="49">
        <v>73415</v>
      </c>
      <c r="AM20" s="22"/>
      <c r="AN20" s="22"/>
    </row>
    <row r="21" spans="1:40" s="23" customFormat="1" ht="14.25" customHeight="1" x14ac:dyDescent="0.3">
      <c r="A21" s="33">
        <f t="shared" si="7"/>
        <v>16</v>
      </c>
      <c r="B21" s="42" t="str">
        <f>INDEX('Data DSNV'!G:G,MATCH('Phép 2020'!D21,'Data DSNV'!C:C,0),1)</f>
        <v>04. Cửa hàng 01</v>
      </c>
      <c r="C21" s="42" t="str">
        <f>INDEX('Data DSNV'!B:B,MATCH('Phép 2020'!D21,'Data DSNV'!C:C,0),1)</f>
        <v>Đang làm việc</v>
      </c>
      <c r="D21" s="47" t="s">
        <v>77</v>
      </c>
      <c r="E21" s="42" t="str">
        <f>INDEX('Data DSNV'!E:E,MATCH('Phép 2020'!D21,'Data DSNV'!C:C,0),1)</f>
        <v>Nguyễn Thị Thương</v>
      </c>
      <c r="F21" s="140" t="str">
        <f>INDEX('Data DSNV'!I:I,MATCH('Phép 2020'!D21,'Data DSNV'!C:C,0),1)</f>
        <v>Nhân viên Bán hàng</v>
      </c>
      <c r="G21" s="16">
        <f>INDEX('Data DSNV'!AI:AI,MATCH('Phép 2020'!D21,'Data DSNV'!C:C,0),1)</f>
        <v>43456</v>
      </c>
      <c r="H21" s="16">
        <f>INDEX('Data DSNV'!AL:AL,MATCH('Phép 2020'!D21,'Data DSNV'!C:C,0),1)</f>
        <v>43516</v>
      </c>
      <c r="I21" s="39">
        <f t="shared" ca="1" si="1"/>
        <v>1.7232876712328766</v>
      </c>
      <c r="J21" s="29">
        <f t="shared" ca="1" si="2"/>
        <v>0.3446575342465753</v>
      </c>
      <c r="K21" s="31">
        <f t="shared" ca="1" si="3"/>
        <v>0</v>
      </c>
      <c r="L21" s="17">
        <f ca="1">ROUND(IF(G21&lt;=DBoard!$C$5,12,(DBoard!$E$5-G21)/30),0.5)+K21</f>
        <v>12</v>
      </c>
      <c r="M21" s="18"/>
      <c r="N21" s="19">
        <f ca="1">IF(OR(AND(G21&lt;=AL21,AL21&lt;DBoard!$C$5),G21=AL21,AL21=DBoard!$C$5,(AL21-G21)&lt;15,G21&gt;=DBoard!$J$5),0,
IF(OR(AND(G21=DBoard!$H$5,AL21&gt;DBoard!$J$5),AND(G21&gt;DBoard!$H$5,DAY(G21)&lt;15,AL21&gt;=DBoard!$L$5)),1,
IF(AND(G21&lt;=DBoard!$C$5,AL21&lt;DBoard!$H$5,DAY(AL21)&gt;=15),MONTH(AL21),
IF(AND(G21&lt;=DBoard!$C$5,AL21&lt;DBoard!$H$5,DAY(AL21)&lt;15),MONTH(AL21)-1,
IF(AND(G21&lt;=DBoard!$C$5,AL21&gt;DBoard!$J$5),DBoard!$N$5,
IF(AND(G21&lt;=DBoard!$C$5,(AL21-DBoard!$H$5)&lt;15,(AL21-DBoard!$H$5)&gt;=0),DBoard!$N$5-1,
IF(OR(AND(G21&lt;DBoard!$H$5,DAY(G21)&lt;15,AL21&gt;=DBoard!$H$5,DAY(AL21)&lt;15),AND(G21&lt;DBoard!$H$5,DAY(G21)&gt;=15,AL21&gt;DBoard!$J$5)),DBoard!$N$5-MONTH(G21),
IF(AND(G21&lt;DBoard!$H$5,DAY(G21)&lt;15,AL21&gt;DBoard!$J$5),DBoard!$N$5-MONTH(G21)+1,
IF(AND(G21&lt;DBoard!$H$5,DAY(G21)&gt;=15,AL21&gt;=DBoard!$H$5,DAY(AL21)&lt;=15),DBoard!$N$5-MONTH(G21)-1,
IF(AND(G21&lt;DBoard!$H$5,DAY(G21)&lt;15,DAY(AL21)&lt;15,AL21&lt;DBoard!$H$5),MONTH(AL21)-MONTH(G21),
IF(AND(G21&lt;DBoard!$H$5,DAY(G21)&lt;15,DAY(AL21)&gt;=15,AL21&lt;DBoard!$H$5),MONTH(AL21)-MONTH(G21)+1,
IF(AND(G21&lt;DBoard!$H$5,DAY(G21)&gt;=15,DAY(AL21)&lt;15,AL21&lt;DBoard!$H$5),MONTH(AL21)-MONTH(G21)-1,
IF(AND(G21&lt;DBoard!$H$5,DAY(G21)&gt;=15,DAY(AL21)&gt;=15,AL21&lt;DBoard!$H$5),MONTH(AL21)-MONTH(G21),
0)))))))))))))+K21</f>
        <v>6</v>
      </c>
      <c r="O21" s="20">
        <f t="shared" ca="1" si="4"/>
        <v>6</v>
      </c>
      <c r="P21" s="21"/>
      <c r="Q21" s="21"/>
      <c r="R21" s="21"/>
      <c r="S21" s="21"/>
      <c r="T21" s="21"/>
      <c r="U21" s="17"/>
      <c r="V21" s="17"/>
      <c r="W21" s="17"/>
      <c r="X21" s="17"/>
      <c r="Y21" s="17"/>
      <c r="Z21" s="17"/>
      <c r="AA21" s="19"/>
      <c r="AB21" s="21">
        <f t="shared" si="8"/>
        <v>0</v>
      </c>
      <c r="AC21" s="17">
        <f t="shared" si="5"/>
        <v>0</v>
      </c>
      <c r="AD21" s="18">
        <f t="shared" si="9"/>
        <v>0</v>
      </c>
      <c r="AE21" s="19">
        <f t="shared" ca="1" si="10"/>
        <v>6</v>
      </c>
      <c r="AF21" s="19">
        <f ca="1">IF(AND(AI21&lt;&gt;"",DBoard!$P$5&lt;=AI21),AD21+AE21,AE21)</f>
        <v>6</v>
      </c>
      <c r="AG21" s="17"/>
      <c r="AH21" s="17">
        <f t="shared" ca="1" si="11"/>
        <v>6</v>
      </c>
      <c r="AI21" s="41" t="s">
        <v>246</v>
      </c>
      <c r="AJ21" s="19"/>
      <c r="AK21" s="19">
        <f t="shared" ca="1" si="6"/>
        <v>0</v>
      </c>
      <c r="AL21" s="49">
        <v>73415</v>
      </c>
      <c r="AM21" s="22"/>
      <c r="AN21" s="22"/>
    </row>
    <row r="22" spans="1:40" s="23" customFormat="1" ht="14.25" customHeight="1" x14ac:dyDescent="0.3">
      <c r="A22" s="33">
        <f t="shared" si="7"/>
        <v>17</v>
      </c>
      <c r="B22" s="42" t="str">
        <f>INDEX('Data DSNV'!G:G,MATCH('Phép 2020'!D22,'Data DSNV'!C:C,0),1)</f>
        <v>05. Cửa hàng 02</v>
      </c>
      <c r="C22" s="42" t="str">
        <f>INDEX('Data DSNV'!B:B,MATCH('Phép 2020'!D22,'Data DSNV'!C:C,0),1)</f>
        <v>Đang làm việc</v>
      </c>
      <c r="D22" s="47" t="s">
        <v>44</v>
      </c>
      <c r="E22" s="42" t="str">
        <f>INDEX('Data DSNV'!E:E,MATCH('Phép 2020'!D22,'Data DSNV'!C:C,0),1)</f>
        <v>Nguyễn Thị Hiền</v>
      </c>
      <c r="F22" s="140" t="str">
        <f>INDEX('Data DSNV'!I:I,MATCH('Phép 2020'!D22,'Data DSNV'!C:C,0),1)</f>
        <v>Nhân viên Bán hàng</v>
      </c>
      <c r="G22" s="16">
        <f>INDEX('Data DSNV'!AI:AI,MATCH('Phép 2020'!D22,'Data DSNV'!C:C,0),1)</f>
        <v>39448</v>
      </c>
      <c r="H22" s="16">
        <f>INDEX('Data DSNV'!AL:AL,MATCH('Phép 2020'!D22,'Data DSNV'!C:C,0),1)</f>
        <v>39508</v>
      </c>
      <c r="I22" s="39">
        <f ca="1">(TODAY()-G22)/365</f>
        <v>12.704109589041096</v>
      </c>
      <c r="J22" s="29">
        <f ca="1">I22/5</f>
        <v>2.540821917808219</v>
      </c>
      <c r="K22" s="31">
        <f ca="1">ROUNDDOWN(J22,0)</f>
        <v>2</v>
      </c>
      <c r="L22" s="17">
        <f ca="1">ROUND(IF(G22&lt;=DBoard!$C$5,12,(DBoard!$E$5-G22)/30),0.5)+K22</f>
        <v>14</v>
      </c>
      <c r="M22" s="18"/>
      <c r="N22" s="19">
        <f ca="1">IF(OR(AND(G22&lt;=AL22,AL22&lt;DBoard!$C$5),G22=AL22,AL22=DBoard!$C$5,(AL22-G22)&lt;15,G22&gt;=DBoard!$J$5),0,
IF(OR(AND(G22=DBoard!$H$5,AL22&gt;DBoard!$J$5),AND(G22&gt;DBoard!$H$5,DAY(G22)&lt;15,AL22&gt;=DBoard!$L$5)),1,
IF(AND(G22&lt;=DBoard!$C$5,AL22&lt;DBoard!$H$5,DAY(AL22)&gt;=15),MONTH(AL22),
IF(AND(G22&lt;=DBoard!$C$5,AL22&lt;DBoard!$H$5,DAY(AL22)&lt;15),MONTH(AL22)-1,
IF(AND(G22&lt;=DBoard!$C$5,AL22&gt;DBoard!$J$5),DBoard!$N$5,
IF(AND(G22&lt;=DBoard!$C$5,(AL22-DBoard!$H$5)&lt;15,(AL22-DBoard!$H$5)&gt;=0),DBoard!$N$5-1,
IF(OR(AND(G22&lt;DBoard!$H$5,DAY(G22)&lt;15,AL22&gt;=DBoard!$H$5,DAY(AL22)&lt;15),AND(G22&lt;DBoard!$H$5,DAY(G22)&gt;=15,AL22&gt;DBoard!$J$5)),DBoard!$N$5-MONTH(G22),
IF(AND(G22&lt;DBoard!$H$5,DAY(G22)&lt;15,AL22&gt;DBoard!$J$5),DBoard!$N$5-MONTH(G22)+1,
IF(AND(G22&lt;DBoard!$H$5,DAY(G22)&gt;=15,AL22&gt;=DBoard!$H$5,DAY(AL22)&lt;=15),DBoard!$N$5-MONTH(G22)-1,
IF(AND(G22&lt;DBoard!$H$5,DAY(G22)&lt;15,DAY(AL22)&lt;15,AL22&lt;DBoard!$H$5),MONTH(AL22)-MONTH(G22),
IF(AND(G22&lt;DBoard!$H$5,DAY(G22)&lt;15,DAY(AL22)&gt;=15,AL22&lt;DBoard!$H$5),MONTH(AL22)-MONTH(G22)+1,
IF(AND(G22&lt;DBoard!$H$5,DAY(G22)&gt;=15,DAY(AL22)&lt;15,AL22&lt;DBoard!$H$5),MONTH(AL22)-MONTH(G22)-1,
IF(AND(G22&lt;DBoard!$H$5,DAY(G22)&gt;=15,DAY(AL22)&gt;=15,AL22&lt;DBoard!$H$5),MONTH(AL22)-MONTH(G22),
0)))))))))))))+K22</f>
        <v>8</v>
      </c>
      <c r="O22" s="20">
        <f ca="1">M22+N22</f>
        <v>8</v>
      </c>
      <c r="P22" s="21"/>
      <c r="Q22" s="21"/>
      <c r="R22" s="21"/>
      <c r="S22" s="21"/>
      <c r="T22" s="21"/>
      <c r="U22" s="17"/>
      <c r="V22" s="17"/>
      <c r="W22" s="17"/>
      <c r="X22" s="17"/>
      <c r="Y22" s="17"/>
      <c r="Z22" s="17"/>
      <c r="AA22" s="19"/>
      <c r="AB22" s="21">
        <f t="shared" si="8"/>
        <v>0</v>
      </c>
      <c r="AC22" s="17">
        <f>SUMPRODUCT((P22:AA22)*--($P$2:$AA$2&gt;MONTH(AI22)))</f>
        <v>0</v>
      </c>
      <c r="AD22" s="18">
        <f>IF(AB22&lt;=M22,M22-AB22,0)</f>
        <v>0</v>
      </c>
      <c r="AE22" s="19">
        <f ca="1">IF(AD22=0,N22-AC22-(AB22-M22),N22-AC22)</f>
        <v>8</v>
      </c>
      <c r="AF22" s="19">
        <f ca="1">IF(AND(AI22&lt;&gt;"",DBoard!$P$5&lt;=AI22),AD22+AE22,AE22)</f>
        <v>8</v>
      </c>
      <c r="AG22" s="17"/>
      <c r="AH22" s="17">
        <f ca="1">AF22-AG22</f>
        <v>8</v>
      </c>
      <c r="AI22" s="41" t="s">
        <v>246</v>
      </c>
      <c r="AJ22" s="19"/>
      <c r="AK22" s="19">
        <f ca="1">SUM(M22:N22)-SUM(AD22:AE22)</f>
        <v>0</v>
      </c>
      <c r="AL22" s="49">
        <v>73415</v>
      </c>
      <c r="AM22" s="22"/>
      <c r="AN22" s="22"/>
    </row>
    <row r="23" spans="1:40" s="23" customFormat="1" ht="14.25" customHeight="1" x14ac:dyDescent="0.3">
      <c r="A23" s="33">
        <f t="shared" si="7"/>
        <v>18</v>
      </c>
      <c r="B23" s="42" t="str">
        <f>INDEX('Data DSNV'!G:G,MATCH('Phép 2020'!D23,'Data DSNV'!C:C,0),1)</f>
        <v>05. Cửa hàng 02</v>
      </c>
      <c r="C23" s="42" t="str">
        <f>INDEX('Data DSNV'!B:B,MATCH('Phép 2020'!D23,'Data DSNV'!C:C,0),1)</f>
        <v>Đang làm việc</v>
      </c>
      <c r="D23" s="47" t="s">
        <v>39</v>
      </c>
      <c r="E23" s="42" t="str">
        <f>INDEX('Data DSNV'!E:E,MATCH('Phép 2020'!D23,'Data DSNV'!C:C,0),1)</f>
        <v>Lê Thị Giang</v>
      </c>
      <c r="F23" s="140" t="str">
        <f>INDEX('Data DSNV'!I:I,MATCH('Phép 2020'!D23,'Data DSNV'!C:C,0),1)</f>
        <v>Cửa hàng trưởng</v>
      </c>
      <c r="G23" s="16">
        <f>INDEX('Data DSNV'!AI:AI,MATCH('Phép 2020'!D23,'Data DSNV'!C:C,0),1)</f>
        <v>40483</v>
      </c>
      <c r="H23" s="16">
        <f>INDEX('Data DSNV'!AL:AL,MATCH('Phép 2020'!D23,'Data DSNV'!C:C,0),1)</f>
        <v>40543</v>
      </c>
      <c r="I23" s="39">
        <f t="shared" ca="1" si="1"/>
        <v>9.868493150684932</v>
      </c>
      <c r="J23" s="29">
        <f t="shared" ca="1" si="2"/>
        <v>1.9736986301369863</v>
      </c>
      <c r="K23" s="31">
        <f t="shared" ca="1" si="3"/>
        <v>1</v>
      </c>
      <c r="L23" s="17">
        <f ca="1">ROUND(IF(G23&lt;=DBoard!$C$5,12,(DBoard!$E$5-G23)/30),0.5)+K23</f>
        <v>13</v>
      </c>
      <c r="M23" s="18"/>
      <c r="N23" s="19">
        <f ca="1">IF(OR(AND(G23&lt;=AL23,AL23&lt;DBoard!$C$5),G23=AL23,AL23=DBoard!$C$5,(AL23-G23)&lt;15,G23&gt;=DBoard!$J$5),0,
IF(OR(AND(G23=DBoard!$H$5,AL23&gt;DBoard!$J$5),AND(G23&gt;DBoard!$H$5,DAY(G23)&lt;15,AL23&gt;=DBoard!$L$5)),1,
IF(AND(G23&lt;=DBoard!$C$5,AL23&lt;DBoard!$H$5,DAY(AL23)&gt;=15),MONTH(AL23),
IF(AND(G23&lt;=DBoard!$C$5,AL23&lt;DBoard!$H$5,DAY(AL23)&lt;15),MONTH(AL23)-1,
IF(AND(G23&lt;=DBoard!$C$5,AL23&gt;DBoard!$J$5),DBoard!$N$5,
IF(AND(G23&lt;=DBoard!$C$5,(AL23-DBoard!$H$5)&lt;15,(AL23-DBoard!$H$5)&gt;=0),DBoard!$N$5-1,
IF(OR(AND(G23&lt;DBoard!$H$5,DAY(G23)&lt;15,AL23&gt;=DBoard!$H$5,DAY(AL23)&lt;15),AND(G23&lt;DBoard!$H$5,DAY(G23)&gt;=15,AL23&gt;DBoard!$J$5)),DBoard!$N$5-MONTH(G23),
IF(AND(G23&lt;DBoard!$H$5,DAY(G23)&lt;15,AL23&gt;DBoard!$J$5),DBoard!$N$5-MONTH(G23)+1,
IF(AND(G23&lt;DBoard!$H$5,DAY(G23)&gt;=15,AL23&gt;=DBoard!$H$5,DAY(AL23)&lt;=15),DBoard!$N$5-MONTH(G23)-1,
IF(AND(G23&lt;DBoard!$H$5,DAY(G23)&lt;15,DAY(AL23)&lt;15,AL23&lt;DBoard!$H$5),MONTH(AL23)-MONTH(G23),
IF(AND(G23&lt;DBoard!$H$5,DAY(G23)&lt;15,DAY(AL23)&gt;=15,AL23&lt;DBoard!$H$5),MONTH(AL23)-MONTH(G23)+1,
IF(AND(G23&lt;DBoard!$H$5,DAY(G23)&gt;=15,DAY(AL23)&lt;15,AL23&lt;DBoard!$H$5),MONTH(AL23)-MONTH(G23)-1,
IF(AND(G23&lt;DBoard!$H$5,DAY(G23)&gt;=15,DAY(AL23)&gt;=15,AL23&lt;DBoard!$H$5),MONTH(AL23)-MONTH(G23),
0)))))))))))))+K23</f>
        <v>7</v>
      </c>
      <c r="O23" s="20">
        <f t="shared" ca="1" si="4"/>
        <v>7</v>
      </c>
      <c r="P23" s="21"/>
      <c r="Q23" s="21"/>
      <c r="R23" s="21"/>
      <c r="S23" s="21"/>
      <c r="T23" s="21"/>
      <c r="U23" s="17"/>
      <c r="V23" s="17"/>
      <c r="W23" s="17"/>
      <c r="X23" s="17"/>
      <c r="Y23" s="17"/>
      <c r="Z23" s="17"/>
      <c r="AA23" s="19"/>
      <c r="AB23" s="21">
        <f t="shared" si="8"/>
        <v>0</v>
      </c>
      <c r="AC23" s="17">
        <f t="shared" si="5"/>
        <v>0</v>
      </c>
      <c r="AD23" s="18">
        <f t="shared" si="9"/>
        <v>0</v>
      </c>
      <c r="AE23" s="19">
        <f t="shared" ca="1" si="10"/>
        <v>7</v>
      </c>
      <c r="AF23" s="19">
        <f ca="1">IF(AND(AI23&lt;&gt;"",DBoard!$P$5&lt;=AI23),AD23+AE23,AE23)</f>
        <v>7</v>
      </c>
      <c r="AG23" s="17"/>
      <c r="AH23" s="17">
        <f t="shared" ca="1" si="11"/>
        <v>7</v>
      </c>
      <c r="AI23" s="41" t="s">
        <v>246</v>
      </c>
      <c r="AJ23" s="19"/>
      <c r="AK23" s="19">
        <f t="shared" ca="1" si="6"/>
        <v>0</v>
      </c>
      <c r="AL23" s="49">
        <v>73415</v>
      </c>
      <c r="AM23" s="22"/>
      <c r="AN23" s="22"/>
    </row>
    <row r="24" spans="1:40" s="23" customFormat="1" ht="14.25" customHeight="1" x14ac:dyDescent="0.3">
      <c r="A24" s="33">
        <f t="shared" si="7"/>
        <v>19</v>
      </c>
      <c r="B24" s="42" t="str">
        <f>INDEX('Data DSNV'!G:G,MATCH('Phép 2020'!D24,'Data DSNV'!C:C,0),1)</f>
        <v>05. Cửa hàng 02</v>
      </c>
      <c r="C24" s="42" t="str">
        <f>INDEX('Data DSNV'!B:B,MATCH('Phép 2020'!D24,'Data DSNV'!C:C,0),1)</f>
        <v>Đang làm việc</v>
      </c>
      <c r="D24" s="47" t="s">
        <v>34</v>
      </c>
      <c r="E24" s="42" t="str">
        <f>INDEX('Data DSNV'!E:E,MATCH('Phép 2020'!D24,'Data DSNV'!C:C,0),1)</f>
        <v>Nguyễn Như Quỳnh</v>
      </c>
      <c r="F24" s="140" t="str">
        <f>INDEX('Data DSNV'!I:I,MATCH('Phép 2020'!D24,'Data DSNV'!C:C,0),1)</f>
        <v>Nhân viên bán hàng</v>
      </c>
      <c r="G24" s="16">
        <f>INDEX('Data DSNV'!AI:AI,MATCH('Phép 2020'!D24,'Data DSNV'!C:C,0),1)</f>
        <v>42591</v>
      </c>
      <c r="H24" s="16">
        <f>INDEX('Data DSNV'!AL:AL,MATCH('Phép 2020'!D24,'Data DSNV'!C:C,0),1)</f>
        <v>42651</v>
      </c>
      <c r="I24" s="39">
        <f t="shared" ca="1" si="1"/>
        <v>4.0931506849315067</v>
      </c>
      <c r="J24" s="29">
        <f t="shared" ca="1" si="2"/>
        <v>0.81863013698630138</v>
      </c>
      <c r="K24" s="31">
        <f t="shared" ca="1" si="3"/>
        <v>0</v>
      </c>
      <c r="L24" s="17">
        <f ca="1">ROUND(IF(G24&lt;=DBoard!$C$5,12,(DBoard!$E$5-G24)/30),0.5)+K24</f>
        <v>12</v>
      </c>
      <c r="M24" s="18"/>
      <c r="N24" s="19">
        <f ca="1">IF(OR(AND(G24&lt;=AL24,AL24&lt;DBoard!$C$5),G24=AL24,AL24=DBoard!$C$5,(AL24-G24)&lt;15,G24&gt;=DBoard!$J$5),0,
IF(OR(AND(G24=DBoard!$H$5,AL24&gt;DBoard!$J$5),AND(G24&gt;DBoard!$H$5,DAY(G24)&lt;15,AL24&gt;=DBoard!$L$5)),1,
IF(AND(G24&lt;=DBoard!$C$5,AL24&lt;DBoard!$H$5,DAY(AL24)&gt;=15),MONTH(AL24),
IF(AND(G24&lt;=DBoard!$C$5,AL24&lt;DBoard!$H$5,DAY(AL24)&lt;15),MONTH(AL24)-1,
IF(AND(G24&lt;=DBoard!$C$5,AL24&gt;DBoard!$J$5),DBoard!$N$5,
IF(AND(G24&lt;=DBoard!$C$5,(AL24-DBoard!$H$5)&lt;15,(AL24-DBoard!$H$5)&gt;=0),DBoard!$N$5-1,
IF(OR(AND(G24&lt;DBoard!$H$5,DAY(G24)&lt;15,AL24&gt;=DBoard!$H$5,DAY(AL24)&lt;15),AND(G24&lt;DBoard!$H$5,DAY(G24)&gt;=15,AL24&gt;DBoard!$J$5)),DBoard!$N$5-MONTH(G24),
IF(AND(G24&lt;DBoard!$H$5,DAY(G24)&lt;15,AL24&gt;DBoard!$J$5),DBoard!$N$5-MONTH(G24)+1,
IF(AND(G24&lt;DBoard!$H$5,DAY(G24)&gt;=15,AL24&gt;=DBoard!$H$5,DAY(AL24)&lt;=15),DBoard!$N$5-MONTH(G24)-1,
IF(AND(G24&lt;DBoard!$H$5,DAY(G24)&lt;15,DAY(AL24)&lt;15,AL24&lt;DBoard!$H$5),MONTH(AL24)-MONTH(G24),
IF(AND(G24&lt;DBoard!$H$5,DAY(G24)&lt;15,DAY(AL24)&gt;=15,AL24&lt;DBoard!$H$5),MONTH(AL24)-MONTH(G24)+1,
IF(AND(G24&lt;DBoard!$H$5,DAY(G24)&gt;=15,DAY(AL24)&lt;15,AL24&lt;DBoard!$H$5),MONTH(AL24)-MONTH(G24)-1,
IF(AND(G24&lt;DBoard!$H$5,DAY(G24)&gt;=15,DAY(AL24)&gt;=15,AL24&lt;DBoard!$H$5),MONTH(AL24)-MONTH(G24),
0)))))))))))))+K24</f>
        <v>6</v>
      </c>
      <c r="O24" s="20">
        <f t="shared" ca="1" si="4"/>
        <v>6</v>
      </c>
      <c r="P24" s="21"/>
      <c r="Q24" s="21"/>
      <c r="R24" s="21"/>
      <c r="S24" s="21"/>
      <c r="T24" s="21"/>
      <c r="U24" s="17"/>
      <c r="V24" s="17"/>
      <c r="W24" s="17"/>
      <c r="X24" s="17"/>
      <c r="Y24" s="17"/>
      <c r="Z24" s="17"/>
      <c r="AA24" s="19"/>
      <c r="AB24" s="21">
        <f t="shared" si="8"/>
        <v>0</v>
      </c>
      <c r="AC24" s="17">
        <f t="shared" si="5"/>
        <v>0</v>
      </c>
      <c r="AD24" s="18">
        <f t="shared" si="9"/>
        <v>0</v>
      </c>
      <c r="AE24" s="19">
        <f t="shared" ca="1" si="10"/>
        <v>6</v>
      </c>
      <c r="AF24" s="19">
        <f ca="1">IF(AND(AI24&lt;&gt;"",DBoard!$P$5&lt;=AI24),AD24+AE24,AE24)</f>
        <v>6</v>
      </c>
      <c r="AG24" s="17"/>
      <c r="AH24" s="17">
        <f t="shared" ca="1" si="11"/>
        <v>6</v>
      </c>
      <c r="AI24" s="41" t="s">
        <v>246</v>
      </c>
      <c r="AJ24" s="19"/>
      <c r="AK24" s="19">
        <f t="shared" ca="1" si="6"/>
        <v>0</v>
      </c>
      <c r="AL24" s="49">
        <v>73415</v>
      </c>
      <c r="AM24" s="22"/>
      <c r="AN24" s="22"/>
    </row>
    <row r="25" spans="1:40" s="23" customFormat="1" ht="14.25" customHeight="1" x14ac:dyDescent="0.3">
      <c r="A25" s="33">
        <f t="shared" si="7"/>
        <v>20</v>
      </c>
      <c r="B25" s="42" t="str">
        <f>INDEX('Data DSNV'!G:G,MATCH('Phép 2020'!D25,'Data DSNV'!C:C,0),1)</f>
        <v>05. Cửa hàng 02</v>
      </c>
      <c r="C25" s="42" t="str">
        <f>INDEX('Data DSNV'!B:B,MATCH('Phép 2020'!D25,'Data DSNV'!C:C,0),1)</f>
        <v>Đang làm việc</v>
      </c>
      <c r="D25" s="47" t="s">
        <v>49</v>
      </c>
      <c r="E25" s="42" t="str">
        <f>INDEX('Data DSNV'!E:E,MATCH('Phép 2020'!D25,'Data DSNV'!C:C,0),1)</f>
        <v>Bùi Thanh Hương</v>
      </c>
      <c r="F25" s="140" t="str">
        <f>INDEX('Data DSNV'!I:I,MATCH('Phép 2020'!D25,'Data DSNV'!C:C,0),1)</f>
        <v>Nhân viên Bán hàng</v>
      </c>
      <c r="G25" s="16">
        <f>INDEX('Data DSNV'!AI:AI,MATCH('Phép 2020'!D25,'Data DSNV'!C:C,0),1)</f>
        <v>42956</v>
      </c>
      <c r="H25" s="16">
        <f>INDEX('Data DSNV'!AL:AL,MATCH('Phép 2020'!D25,'Data DSNV'!C:C,0),1)</f>
        <v>43016</v>
      </c>
      <c r="I25" s="39">
        <f t="shared" ca="1" si="1"/>
        <v>3.0931506849315067</v>
      </c>
      <c r="J25" s="29">
        <f t="shared" ca="1" si="2"/>
        <v>0.61863013698630132</v>
      </c>
      <c r="K25" s="31">
        <f t="shared" ca="1" si="3"/>
        <v>0</v>
      </c>
      <c r="L25" s="17">
        <f ca="1">ROUND(IF(G25&lt;=DBoard!$C$5,12,(DBoard!$E$5-G25)/30),0.5)+K25</f>
        <v>12</v>
      </c>
      <c r="M25" s="18"/>
      <c r="N25" s="19">
        <f ca="1">IF(OR(AND(G25&lt;=AL25,AL25&lt;DBoard!$C$5),G25=AL25,AL25=DBoard!$C$5,(AL25-G25)&lt;15,G25&gt;=DBoard!$J$5),0,
IF(OR(AND(G25=DBoard!$H$5,AL25&gt;DBoard!$J$5),AND(G25&gt;DBoard!$H$5,DAY(G25)&lt;15,AL25&gt;=DBoard!$L$5)),1,
IF(AND(G25&lt;=DBoard!$C$5,AL25&lt;DBoard!$H$5,DAY(AL25)&gt;=15),MONTH(AL25),
IF(AND(G25&lt;=DBoard!$C$5,AL25&lt;DBoard!$H$5,DAY(AL25)&lt;15),MONTH(AL25)-1,
IF(AND(G25&lt;=DBoard!$C$5,AL25&gt;DBoard!$J$5),DBoard!$N$5,
IF(AND(G25&lt;=DBoard!$C$5,(AL25-DBoard!$H$5)&lt;15,(AL25-DBoard!$H$5)&gt;=0),DBoard!$N$5-1,
IF(OR(AND(G25&lt;DBoard!$H$5,DAY(G25)&lt;15,AL25&gt;=DBoard!$H$5,DAY(AL25)&lt;15),AND(G25&lt;DBoard!$H$5,DAY(G25)&gt;=15,AL25&gt;DBoard!$J$5)),DBoard!$N$5-MONTH(G25),
IF(AND(G25&lt;DBoard!$H$5,DAY(G25)&lt;15,AL25&gt;DBoard!$J$5),DBoard!$N$5-MONTH(G25)+1,
IF(AND(G25&lt;DBoard!$H$5,DAY(G25)&gt;=15,AL25&gt;=DBoard!$H$5,DAY(AL25)&lt;=15),DBoard!$N$5-MONTH(G25)-1,
IF(AND(G25&lt;DBoard!$H$5,DAY(G25)&lt;15,DAY(AL25)&lt;15,AL25&lt;DBoard!$H$5),MONTH(AL25)-MONTH(G25),
IF(AND(G25&lt;DBoard!$H$5,DAY(G25)&lt;15,DAY(AL25)&gt;=15,AL25&lt;DBoard!$H$5),MONTH(AL25)-MONTH(G25)+1,
IF(AND(G25&lt;DBoard!$H$5,DAY(G25)&gt;=15,DAY(AL25)&lt;15,AL25&lt;DBoard!$H$5),MONTH(AL25)-MONTH(G25)-1,
IF(AND(G25&lt;DBoard!$H$5,DAY(G25)&gt;=15,DAY(AL25)&gt;=15,AL25&lt;DBoard!$H$5),MONTH(AL25)-MONTH(G25),
0)))))))))))))+K25</f>
        <v>6</v>
      </c>
      <c r="O25" s="20">
        <f t="shared" ca="1" si="4"/>
        <v>6</v>
      </c>
      <c r="P25" s="21"/>
      <c r="Q25" s="21"/>
      <c r="R25" s="21"/>
      <c r="S25" s="21"/>
      <c r="T25" s="21"/>
      <c r="U25" s="17"/>
      <c r="V25" s="17"/>
      <c r="W25" s="17"/>
      <c r="X25" s="17"/>
      <c r="Y25" s="17"/>
      <c r="Z25" s="17"/>
      <c r="AA25" s="19"/>
      <c r="AB25" s="21">
        <f t="shared" si="8"/>
        <v>0</v>
      </c>
      <c r="AC25" s="17">
        <f t="shared" si="5"/>
        <v>0</v>
      </c>
      <c r="AD25" s="18">
        <f t="shared" si="9"/>
        <v>0</v>
      </c>
      <c r="AE25" s="19">
        <f t="shared" ca="1" si="10"/>
        <v>6</v>
      </c>
      <c r="AF25" s="19">
        <f ca="1">IF(AND(AI25&lt;&gt;"",DBoard!$P$5&lt;=AI25),AD25+AE25,AE25)</f>
        <v>6</v>
      </c>
      <c r="AG25" s="17"/>
      <c r="AH25" s="17">
        <f t="shared" ca="1" si="11"/>
        <v>6</v>
      </c>
      <c r="AI25" s="41" t="s">
        <v>246</v>
      </c>
      <c r="AJ25" s="19"/>
      <c r="AK25" s="19">
        <f t="shared" ca="1" si="6"/>
        <v>0</v>
      </c>
      <c r="AL25" s="49">
        <v>73415</v>
      </c>
      <c r="AM25" s="22"/>
      <c r="AN25" s="22"/>
    </row>
    <row r="26" spans="1:40" s="23" customFormat="1" ht="14.25" customHeight="1" x14ac:dyDescent="0.3">
      <c r="A26" s="33"/>
      <c r="B26" s="42"/>
      <c r="C26" s="42"/>
      <c r="D26" s="47"/>
      <c r="E26" s="15"/>
      <c r="F26" s="15"/>
      <c r="G26" s="16"/>
      <c r="H26" s="37"/>
      <c r="I26" s="39"/>
      <c r="J26" s="29"/>
      <c r="K26" s="31"/>
      <c r="L26" s="17"/>
      <c r="M26" s="18"/>
      <c r="N26" s="19"/>
      <c r="O26" s="20"/>
      <c r="P26" s="21"/>
      <c r="Q26" s="21"/>
      <c r="R26" s="21"/>
      <c r="S26" s="21"/>
      <c r="T26" s="21"/>
      <c r="U26" s="17"/>
      <c r="V26" s="17"/>
      <c r="W26" s="17"/>
      <c r="X26" s="17"/>
      <c r="Y26" s="17"/>
      <c r="Z26" s="17"/>
      <c r="AA26" s="19"/>
      <c r="AB26" s="21"/>
      <c r="AC26" s="17"/>
      <c r="AD26" s="18"/>
      <c r="AE26" s="19"/>
      <c r="AF26" s="19"/>
      <c r="AG26" s="17"/>
      <c r="AH26" s="17"/>
      <c r="AI26" s="41"/>
      <c r="AJ26" s="19"/>
      <c r="AK26" s="19"/>
      <c r="AL26" s="49">
        <v>73415</v>
      </c>
      <c r="AM26" s="22"/>
      <c r="AN26" s="22"/>
    </row>
    <row r="27" spans="1:40" s="23" customFormat="1" ht="14.25" customHeight="1" x14ac:dyDescent="0.3">
      <c r="A27" s="33"/>
      <c r="B27" s="42"/>
      <c r="C27" s="42"/>
      <c r="D27" s="47"/>
      <c r="E27" s="15"/>
      <c r="F27" s="15"/>
      <c r="G27" s="16"/>
      <c r="H27" s="37"/>
      <c r="I27" s="39"/>
      <c r="J27" s="29"/>
      <c r="K27" s="31"/>
      <c r="L27" s="17"/>
      <c r="M27" s="18"/>
      <c r="N27" s="19"/>
      <c r="O27" s="20"/>
      <c r="P27" s="21"/>
      <c r="Q27" s="21"/>
      <c r="R27" s="21"/>
      <c r="S27" s="21"/>
      <c r="T27" s="21"/>
      <c r="U27" s="17"/>
      <c r="V27" s="17"/>
      <c r="W27" s="17"/>
      <c r="X27" s="17"/>
      <c r="Y27" s="17"/>
      <c r="Z27" s="17"/>
      <c r="AA27" s="19"/>
      <c r="AB27" s="21"/>
      <c r="AC27" s="17"/>
      <c r="AD27" s="18"/>
      <c r="AE27" s="19"/>
      <c r="AF27" s="19"/>
      <c r="AG27" s="17"/>
      <c r="AH27" s="17"/>
      <c r="AI27" s="41"/>
      <c r="AJ27" s="19"/>
      <c r="AK27" s="19"/>
      <c r="AL27" s="49">
        <v>73415</v>
      </c>
      <c r="AM27" s="22"/>
      <c r="AN27" s="22"/>
    </row>
    <row r="28" spans="1:40" s="23" customFormat="1" ht="14.25" customHeight="1" x14ac:dyDescent="0.3">
      <c r="A28" s="33"/>
      <c r="B28" s="42"/>
      <c r="C28" s="42"/>
      <c r="D28" s="47"/>
      <c r="E28" s="15"/>
      <c r="F28" s="15"/>
      <c r="G28" s="16"/>
      <c r="H28" s="37"/>
      <c r="I28" s="39"/>
      <c r="J28" s="29"/>
      <c r="K28" s="31"/>
      <c r="L28" s="17"/>
      <c r="M28" s="18"/>
      <c r="N28" s="19"/>
      <c r="O28" s="20"/>
      <c r="P28" s="21"/>
      <c r="Q28" s="21"/>
      <c r="R28" s="21"/>
      <c r="S28" s="21"/>
      <c r="T28" s="21"/>
      <c r="U28" s="17"/>
      <c r="V28" s="17"/>
      <c r="W28" s="17"/>
      <c r="X28" s="17"/>
      <c r="Y28" s="17"/>
      <c r="Z28" s="17"/>
      <c r="AA28" s="19"/>
      <c r="AB28" s="21"/>
      <c r="AC28" s="17"/>
      <c r="AD28" s="18"/>
      <c r="AE28" s="19"/>
      <c r="AF28" s="19"/>
      <c r="AG28" s="17"/>
      <c r="AH28" s="17"/>
      <c r="AI28" s="41"/>
      <c r="AJ28" s="19"/>
      <c r="AK28" s="19"/>
      <c r="AL28" s="49">
        <v>73415</v>
      </c>
      <c r="AM28" s="22"/>
      <c r="AN28" s="22"/>
    </row>
    <row r="29" spans="1:40" s="23" customFormat="1" ht="14.25" customHeight="1" x14ac:dyDescent="0.3">
      <c r="A29" s="33"/>
      <c r="B29" s="42"/>
      <c r="C29" s="42"/>
      <c r="D29" s="47"/>
      <c r="E29" s="15"/>
      <c r="F29" s="15"/>
      <c r="G29" s="16"/>
      <c r="H29" s="37"/>
      <c r="I29" s="39"/>
      <c r="J29" s="29"/>
      <c r="K29" s="31"/>
      <c r="L29" s="17"/>
      <c r="M29" s="18"/>
      <c r="N29" s="19"/>
      <c r="O29" s="20"/>
      <c r="P29" s="21"/>
      <c r="Q29" s="21"/>
      <c r="R29" s="21"/>
      <c r="S29" s="21"/>
      <c r="T29" s="21"/>
      <c r="U29" s="17"/>
      <c r="V29" s="17"/>
      <c r="W29" s="17"/>
      <c r="X29" s="17"/>
      <c r="Y29" s="17"/>
      <c r="Z29" s="17"/>
      <c r="AA29" s="19"/>
      <c r="AB29" s="21"/>
      <c r="AC29" s="17"/>
      <c r="AD29" s="18"/>
      <c r="AE29" s="19"/>
      <c r="AF29" s="19"/>
      <c r="AG29" s="17"/>
      <c r="AH29" s="17"/>
      <c r="AI29" s="41"/>
      <c r="AJ29" s="19"/>
      <c r="AK29" s="19"/>
      <c r="AL29" s="49">
        <v>73415</v>
      </c>
      <c r="AM29" s="22"/>
      <c r="AN29" s="22"/>
    </row>
    <row r="30" spans="1:40" s="23" customFormat="1" ht="14.25" customHeight="1" x14ac:dyDescent="0.3">
      <c r="A30" s="33"/>
      <c r="B30" s="42"/>
      <c r="C30" s="42"/>
      <c r="D30" s="47"/>
      <c r="E30" s="15"/>
      <c r="F30" s="15"/>
      <c r="G30" s="16"/>
      <c r="H30" s="37"/>
      <c r="I30" s="39"/>
      <c r="J30" s="29"/>
      <c r="K30" s="31"/>
      <c r="L30" s="17"/>
      <c r="M30" s="18"/>
      <c r="N30" s="19"/>
      <c r="O30" s="20"/>
      <c r="P30" s="21"/>
      <c r="Q30" s="21"/>
      <c r="R30" s="21"/>
      <c r="S30" s="21"/>
      <c r="T30" s="21"/>
      <c r="U30" s="17"/>
      <c r="V30" s="17"/>
      <c r="W30" s="17"/>
      <c r="X30" s="17"/>
      <c r="Y30" s="17"/>
      <c r="Z30" s="17"/>
      <c r="AA30" s="19"/>
      <c r="AB30" s="21"/>
      <c r="AC30" s="17"/>
      <c r="AD30" s="18"/>
      <c r="AE30" s="19"/>
      <c r="AF30" s="19"/>
      <c r="AG30" s="17"/>
      <c r="AH30" s="17"/>
      <c r="AI30" s="41"/>
      <c r="AJ30" s="19"/>
      <c r="AK30" s="19"/>
      <c r="AL30" s="49">
        <v>73415</v>
      </c>
      <c r="AM30" s="22"/>
      <c r="AN30" s="22"/>
    </row>
    <row r="31" spans="1:40" s="23" customFormat="1" ht="14.25" customHeight="1" x14ac:dyDescent="0.3">
      <c r="A31" s="33"/>
      <c r="B31" s="42"/>
      <c r="C31" s="42"/>
      <c r="D31" s="47"/>
      <c r="E31" s="15"/>
      <c r="F31" s="15"/>
      <c r="G31" s="16"/>
      <c r="H31" s="37"/>
      <c r="I31" s="39"/>
      <c r="J31" s="29"/>
      <c r="K31" s="31"/>
      <c r="L31" s="17"/>
      <c r="M31" s="18"/>
      <c r="N31" s="19"/>
      <c r="O31" s="20"/>
      <c r="P31" s="21"/>
      <c r="Q31" s="21"/>
      <c r="R31" s="21"/>
      <c r="S31" s="21"/>
      <c r="T31" s="21"/>
      <c r="U31" s="17"/>
      <c r="V31" s="17"/>
      <c r="W31" s="17"/>
      <c r="X31" s="17"/>
      <c r="Y31" s="17"/>
      <c r="Z31" s="17"/>
      <c r="AA31" s="19"/>
      <c r="AB31" s="21"/>
      <c r="AC31" s="17"/>
      <c r="AD31" s="18"/>
      <c r="AE31" s="19"/>
      <c r="AF31" s="19"/>
      <c r="AG31" s="17"/>
      <c r="AH31" s="17"/>
      <c r="AI31" s="41"/>
      <c r="AJ31" s="19"/>
      <c r="AK31" s="19"/>
      <c r="AL31" s="49">
        <v>73415</v>
      </c>
      <c r="AM31" s="22"/>
      <c r="AN31" s="22"/>
    </row>
    <row r="32" spans="1:40" s="23" customFormat="1" ht="14.25" customHeight="1" x14ac:dyDescent="0.3">
      <c r="A32" s="33"/>
      <c r="B32" s="42"/>
      <c r="C32" s="42"/>
      <c r="D32" s="47"/>
      <c r="E32" s="15"/>
      <c r="F32" s="15"/>
      <c r="G32" s="16"/>
      <c r="H32" s="37"/>
      <c r="I32" s="39"/>
      <c r="J32" s="29"/>
      <c r="K32" s="31"/>
      <c r="L32" s="17"/>
      <c r="M32" s="18"/>
      <c r="N32" s="19"/>
      <c r="O32" s="20"/>
      <c r="P32" s="21"/>
      <c r="Q32" s="21"/>
      <c r="R32" s="21"/>
      <c r="S32" s="21"/>
      <c r="T32" s="21"/>
      <c r="U32" s="17"/>
      <c r="V32" s="17"/>
      <c r="W32" s="17"/>
      <c r="X32" s="17"/>
      <c r="Y32" s="17"/>
      <c r="Z32" s="17"/>
      <c r="AA32" s="19"/>
      <c r="AB32" s="21"/>
      <c r="AC32" s="17"/>
      <c r="AD32" s="18"/>
      <c r="AE32" s="19"/>
      <c r="AF32" s="19"/>
      <c r="AG32" s="17"/>
      <c r="AH32" s="17"/>
      <c r="AI32" s="41"/>
      <c r="AJ32" s="19"/>
      <c r="AK32" s="19"/>
      <c r="AL32" s="49">
        <v>73415</v>
      </c>
      <c r="AM32" s="22"/>
      <c r="AN32" s="22"/>
    </row>
    <row r="33" spans="1:40" s="23" customFormat="1" ht="14.25" customHeight="1" x14ac:dyDescent="0.3">
      <c r="A33" s="33"/>
      <c r="B33" s="42"/>
      <c r="C33" s="42"/>
      <c r="D33" s="47"/>
      <c r="E33" s="15"/>
      <c r="F33" s="15"/>
      <c r="G33" s="16"/>
      <c r="H33" s="37"/>
      <c r="I33" s="39"/>
      <c r="J33" s="29"/>
      <c r="K33" s="31"/>
      <c r="L33" s="17"/>
      <c r="M33" s="18"/>
      <c r="N33" s="19"/>
      <c r="O33" s="20"/>
      <c r="P33" s="21"/>
      <c r="Q33" s="21"/>
      <c r="R33" s="21"/>
      <c r="S33" s="21"/>
      <c r="T33" s="21"/>
      <c r="U33" s="17"/>
      <c r="V33" s="17"/>
      <c r="W33" s="17"/>
      <c r="X33" s="17"/>
      <c r="Y33" s="17"/>
      <c r="Z33" s="17"/>
      <c r="AA33" s="19"/>
      <c r="AB33" s="21"/>
      <c r="AC33" s="17"/>
      <c r="AD33" s="18"/>
      <c r="AE33" s="19"/>
      <c r="AF33" s="19"/>
      <c r="AG33" s="17"/>
      <c r="AH33" s="17"/>
      <c r="AI33" s="41"/>
      <c r="AJ33" s="19"/>
      <c r="AK33" s="19"/>
      <c r="AL33" s="49">
        <v>73415</v>
      </c>
      <c r="AM33" s="22"/>
      <c r="AN33" s="22"/>
    </row>
    <row r="34" spans="1:40" s="23" customFormat="1" ht="14.25" customHeight="1" x14ac:dyDescent="0.3">
      <c r="A34" s="33"/>
      <c r="B34" s="42"/>
      <c r="C34" s="42"/>
      <c r="D34" s="47"/>
      <c r="E34" s="15"/>
      <c r="F34" s="15"/>
      <c r="G34" s="16"/>
      <c r="H34" s="37"/>
      <c r="I34" s="39"/>
      <c r="J34" s="29"/>
      <c r="K34" s="31"/>
      <c r="L34" s="17"/>
      <c r="M34" s="18"/>
      <c r="N34" s="19"/>
      <c r="O34" s="20"/>
      <c r="P34" s="21"/>
      <c r="Q34" s="21"/>
      <c r="R34" s="21"/>
      <c r="S34" s="21"/>
      <c r="T34" s="21"/>
      <c r="U34" s="17"/>
      <c r="V34" s="17"/>
      <c r="W34" s="17"/>
      <c r="X34" s="17"/>
      <c r="Y34" s="17"/>
      <c r="Z34" s="17"/>
      <c r="AA34" s="19"/>
      <c r="AB34" s="21"/>
      <c r="AC34" s="17"/>
      <c r="AD34" s="18"/>
      <c r="AE34" s="19"/>
      <c r="AF34" s="19"/>
      <c r="AG34" s="17"/>
      <c r="AH34" s="17"/>
      <c r="AI34" s="41"/>
      <c r="AJ34" s="19"/>
      <c r="AK34" s="19"/>
      <c r="AL34" s="49">
        <v>73415</v>
      </c>
      <c r="AM34" s="22"/>
      <c r="AN34" s="22"/>
    </row>
    <row r="35" spans="1:40" s="23" customFormat="1" ht="14.25" customHeight="1" x14ac:dyDescent="0.3">
      <c r="A35" s="33"/>
      <c r="B35" s="42"/>
      <c r="C35" s="42"/>
      <c r="D35" s="47"/>
      <c r="E35" s="15"/>
      <c r="F35" s="15"/>
      <c r="G35" s="16"/>
      <c r="H35" s="37"/>
      <c r="I35" s="39"/>
      <c r="J35" s="29"/>
      <c r="K35" s="31"/>
      <c r="L35" s="17"/>
      <c r="M35" s="18"/>
      <c r="N35" s="19"/>
      <c r="O35" s="20"/>
      <c r="P35" s="21"/>
      <c r="Q35" s="21"/>
      <c r="R35" s="21"/>
      <c r="S35" s="21"/>
      <c r="T35" s="21"/>
      <c r="U35" s="17"/>
      <c r="V35" s="17"/>
      <c r="W35" s="17"/>
      <c r="X35" s="17"/>
      <c r="Y35" s="17"/>
      <c r="Z35" s="17"/>
      <c r="AA35" s="19"/>
      <c r="AB35" s="21"/>
      <c r="AC35" s="17"/>
      <c r="AD35" s="18"/>
      <c r="AE35" s="19"/>
      <c r="AF35" s="19"/>
      <c r="AG35" s="17"/>
      <c r="AH35" s="17"/>
      <c r="AI35" s="41"/>
      <c r="AJ35" s="19"/>
      <c r="AK35" s="19"/>
      <c r="AL35" s="49">
        <v>73415</v>
      </c>
      <c r="AM35" s="22"/>
      <c r="AN35" s="22"/>
    </row>
    <row r="36" spans="1:40" s="23" customFormat="1" ht="14.25" customHeight="1" x14ac:dyDescent="0.3">
      <c r="A36" s="33"/>
      <c r="B36" s="42"/>
      <c r="C36" s="42"/>
      <c r="D36" s="47"/>
      <c r="E36" s="15"/>
      <c r="F36" s="15"/>
      <c r="G36" s="16"/>
      <c r="H36" s="37"/>
      <c r="I36" s="39"/>
      <c r="J36" s="29"/>
      <c r="K36" s="31"/>
      <c r="L36" s="17"/>
      <c r="M36" s="18"/>
      <c r="N36" s="19"/>
      <c r="O36" s="20"/>
      <c r="P36" s="21"/>
      <c r="Q36" s="21"/>
      <c r="R36" s="21"/>
      <c r="S36" s="21"/>
      <c r="T36" s="21"/>
      <c r="U36" s="17"/>
      <c r="V36" s="17"/>
      <c r="W36" s="17"/>
      <c r="X36" s="17"/>
      <c r="Y36" s="17"/>
      <c r="Z36" s="17"/>
      <c r="AA36" s="19"/>
      <c r="AB36" s="21"/>
      <c r="AC36" s="17"/>
      <c r="AD36" s="18"/>
      <c r="AE36" s="19"/>
      <c r="AF36" s="19"/>
      <c r="AG36" s="17"/>
      <c r="AH36" s="17"/>
      <c r="AI36" s="41"/>
      <c r="AJ36" s="19"/>
      <c r="AK36" s="19"/>
      <c r="AL36" s="49">
        <v>73415</v>
      </c>
      <c r="AM36" s="22"/>
      <c r="AN36" s="22"/>
    </row>
    <row r="37" spans="1:40" s="23" customFormat="1" ht="14.25" customHeight="1" x14ac:dyDescent="0.3">
      <c r="A37" s="33"/>
      <c r="B37" s="42"/>
      <c r="C37" s="42"/>
      <c r="D37" s="47"/>
      <c r="E37" s="15"/>
      <c r="F37" s="15"/>
      <c r="G37" s="16"/>
      <c r="H37" s="37"/>
      <c r="I37" s="39"/>
      <c r="J37" s="29"/>
      <c r="K37" s="31"/>
      <c r="L37" s="17"/>
      <c r="M37" s="18"/>
      <c r="N37" s="19"/>
      <c r="O37" s="20"/>
      <c r="P37" s="21"/>
      <c r="Q37" s="21"/>
      <c r="R37" s="21"/>
      <c r="S37" s="21"/>
      <c r="T37" s="21"/>
      <c r="U37" s="17"/>
      <c r="V37" s="17"/>
      <c r="W37" s="17"/>
      <c r="X37" s="17"/>
      <c r="Y37" s="17"/>
      <c r="Z37" s="17"/>
      <c r="AA37" s="19"/>
      <c r="AB37" s="21"/>
      <c r="AC37" s="17"/>
      <c r="AD37" s="18"/>
      <c r="AE37" s="19"/>
      <c r="AF37" s="19"/>
      <c r="AG37" s="17"/>
      <c r="AH37" s="17"/>
      <c r="AI37" s="41"/>
      <c r="AJ37" s="19"/>
      <c r="AK37" s="19"/>
      <c r="AL37" s="49">
        <v>73415</v>
      </c>
      <c r="AM37" s="22"/>
      <c r="AN37" s="22"/>
    </row>
    <row r="38" spans="1:40" s="23" customFormat="1" ht="14.25" customHeight="1" x14ac:dyDescent="0.3">
      <c r="A38" s="33"/>
      <c r="B38" s="42"/>
      <c r="C38" s="42"/>
      <c r="D38" s="47"/>
      <c r="E38" s="15"/>
      <c r="F38" s="15"/>
      <c r="G38" s="16"/>
      <c r="H38" s="37"/>
      <c r="I38" s="39"/>
      <c r="J38" s="29"/>
      <c r="K38" s="31"/>
      <c r="L38" s="17"/>
      <c r="M38" s="18"/>
      <c r="N38" s="19"/>
      <c r="O38" s="20"/>
      <c r="P38" s="21"/>
      <c r="Q38" s="21"/>
      <c r="R38" s="21"/>
      <c r="S38" s="21"/>
      <c r="T38" s="21"/>
      <c r="U38" s="17"/>
      <c r="V38" s="17"/>
      <c r="W38" s="17"/>
      <c r="X38" s="17"/>
      <c r="Y38" s="17"/>
      <c r="Z38" s="17"/>
      <c r="AA38" s="19"/>
      <c r="AB38" s="21"/>
      <c r="AC38" s="17"/>
      <c r="AD38" s="18"/>
      <c r="AE38" s="19"/>
      <c r="AF38" s="19"/>
      <c r="AG38" s="17"/>
      <c r="AH38" s="17"/>
      <c r="AI38" s="41"/>
      <c r="AJ38" s="19"/>
      <c r="AK38" s="19"/>
      <c r="AL38" s="49">
        <v>73415</v>
      </c>
      <c r="AM38" s="22"/>
      <c r="AN38" s="22"/>
    </row>
  </sheetData>
  <autoFilter ref="A5:AN28" xr:uid="{00000000-0009-0000-0000-000000000000}"/>
  <mergeCells count="1">
    <mergeCell ref="A1:K1"/>
  </mergeCells>
  <pageMargins left="0.15625" right="0.53125" top="0.68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D1BDA-FE3F-4401-B601-6708BDF4E477}">
  <sheetPr>
    <tabColor theme="9"/>
  </sheetPr>
  <dimension ref="A1:BH32"/>
  <sheetViews>
    <sheetView zoomScale="70" zoomScaleNormal="70" workbookViewId="0">
      <selection activeCell="H11" sqref="H11"/>
    </sheetView>
  </sheetViews>
  <sheetFormatPr defaultColWidth="14.453125" defaultRowHeight="14.5" x14ac:dyDescent="0.35"/>
  <cols>
    <col min="1" max="1" width="8.453125" customWidth="1"/>
    <col min="2" max="2" width="9.81640625" customWidth="1"/>
    <col min="3" max="4" width="10.54296875" customWidth="1"/>
    <col min="5" max="5" width="30.7265625" customWidth="1"/>
    <col min="7" max="7" width="33" customWidth="1"/>
    <col min="8" max="8" width="19.26953125" customWidth="1"/>
    <col min="9" max="9" width="22" customWidth="1"/>
    <col min="12" max="12" width="28.26953125" customWidth="1"/>
    <col min="13" max="13" width="33.54296875" customWidth="1"/>
    <col min="14" max="14" width="38.1796875" customWidth="1"/>
    <col min="15" max="15" width="15.26953125" customWidth="1"/>
    <col min="16" max="16" width="32.7265625" customWidth="1"/>
    <col min="17" max="17" width="24.26953125" customWidth="1"/>
    <col min="29" max="29" width="20.7265625" customWidth="1"/>
    <col min="33" max="33" width="13.81640625" customWidth="1"/>
    <col min="41" max="41" width="17.1796875" customWidth="1"/>
    <col min="42" max="42" width="30.1796875" customWidth="1"/>
    <col min="43" max="43" width="17.1796875" customWidth="1"/>
    <col min="44" max="44" width="18.54296875" customWidth="1"/>
    <col min="48" max="48" width="18.7265625" customWidth="1"/>
  </cols>
  <sheetData>
    <row r="1" spans="1:60" s="85" customFormat="1" ht="30" x14ac:dyDescent="0.45">
      <c r="A1" s="84" t="s">
        <v>252</v>
      </c>
      <c r="B1" s="88"/>
      <c r="C1" s="91"/>
      <c r="D1" s="91"/>
      <c r="E1" s="92"/>
      <c r="F1" s="92"/>
      <c r="G1" s="93"/>
      <c r="H1" s="93"/>
      <c r="I1" s="94"/>
      <c r="J1" s="90"/>
      <c r="K1" s="90"/>
      <c r="L1" s="90"/>
      <c r="M1" s="95"/>
      <c r="N1" s="94"/>
      <c r="O1" s="94"/>
      <c r="P1" s="96"/>
      <c r="Q1" s="90"/>
      <c r="R1" s="90"/>
      <c r="S1" s="86"/>
      <c r="T1" s="86"/>
      <c r="U1" s="86"/>
      <c r="V1" s="86"/>
      <c r="W1" s="86"/>
      <c r="X1" s="86"/>
      <c r="Y1" s="86"/>
      <c r="Z1" s="86"/>
      <c r="AA1" s="97"/>
      <c r="AB1" s="98"/>
      <c r="AC1" s="90"/>
      <c r="AD1" s="90"/>
      <c r="AE1" s="86"/>
      <c r="AF1" s="86"/>
      <c r="AG1" s="90"/>
      <c r="AH1" s="86"/>
      <c r="AI1" s="99"/>
      <c r="AJ1" s="90"/>
      <c r="AK1" s="90"/>
      <c r="AL1" s="100"/>
      <c r="AM1" s="95"/>
      <c r="AN1" s="101"/>
      <c r="AO1" s="94"/>
      <c r="AP1" s="86"/>
      <c r="AQ1" s="102"/>
      <c r="AR1" s="102"/>
      <c r="AS1" s="98"/>
      <c r="AT1" s="98"/>
      <c r="AU1" s="99"/>
      <c r="AV1" s="103"/>
      <c r="AW1" s="104"/>
      <c r="AX1" s="105"/>
      <c r="AY1" s="105"/>
      <c r="AZ1" s="105"/>
      <c r="BA1" s="105"/>
      <c r="BB1" s="105"/>
      <c r="BC1" s="105"/>
      <c r="BD1" s="105"/>
    </row>
    <row r="2" spans="1:60" s="85" customFormat="1" ht="20.5" x14ac:dyDescent="0.45">
      <c r="A2" s="92" t="s">
        <v>253</v>
      </c>
      <c r="B2" s="88"/>
      <c r="C2" s="91" t="s">
        <v>254</v>
      </c>
      <c r="D2" s="92"/>
      <c r="F2" s="92"/>
      <c r="G2" s="92"/>
      <c r="H2" s="88"/>
      <c r="I2" s="94"/>
      <c r="J2" s="90"/>
      <c r="K2" s="90"/>
      <c r="L2" s="90"/>
      <c r="M2" s="95"/>
      <c r="N2" s="94"/>
      <c r="O2" s="94"/>
      <c r="P2" s="96"/>
      <c r="Q2" s="90"/>
      <c r="R2" s="90"/>
      <c r="S2" s="86"/>
      <c r="T2" s="86"/>
      <c r="U2" s="86"/>
      <c r="V2" s="86"/>
      <c r="W2" s="86"/>
      <c r="X2" s="86"/>
      <c r="Y2" s="86"/>
      <c r="Z2" s="86"/>
      <c r="AA2" s="97"/>
      <c r="AB2" s="98"/>
      <c r="AC2" s="90"/>
      <c r="AD2" s="90"/>
      <c r="AE2" s="86"/>
      <c r="AF2" s="86"/>
      <c r="AG2" s="90"/>
      <c r="AH2" s="86"/>
      <c r="AI2" s="106"/>
      <c r="AJ2" s="90"/>
      <c r="AK2" s="90"/>
      <c r="AL2" s="100"/>
      <c r="AM2" s="95"/>
      <c r="AN2" s="101"/>
      <c r="AO2" s="94"/>
      <c r="AP2" s="86"/>
      <c r="AQ2" s="86"/>
      <c r="AR2" s="86"/>
      <c r="AS2" s="98"/>
      <c r="AT2" s="98"/>
      <c r="AU2" s="99"/>
      <c r="AV2" s="103"/>
      <c r="AW2" s="104"/>
      <c r="AX2" s="105"/>
      <c r="AY2" s="105"/>
      <c r="AZ2" s="105"/>
      <c r="BA2" s="105"/>
      <c r="BB2" s="105"/>
      <c r="BC2" s="105"/>
      <c r="BD2" s="105"/>
    </row>
    <row r="3" spans="1:60" s="85" customFormat="1" ht="20.5" x14ac:dyDescent="0.45">
      <c r="A3" s="107" t="s">
        <v>255</v>
      </c>
      <c r="B3" s="108"/>
      <c r="E3" s="109" t="s">
        <v>256</v>
      </c>
      <c r="F3" s="99">
        <v>4</v>
      </c>
      <c r="G3" s="99"/>
      <c r="H3" s="99"/>
      <c r="I3" s="89"/>
      <c r="J3" s="99"/>
      <c r="K3" s="108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105"/>
      <c r="BB3" s="105"/>
      <c r="BC3" s="105"/>
      <c r="BD3" s="105"/>
    </row>
    <row r="4" spans="1:60" s="85" customFormat="1" ht="14" x14ac:dyDescent="0.3">
      <c r="A4" s="110" t="s">
        <v>98</v>
      </c>
      <c r="B4" s="110" t="s">
        <v>98</v>
      </c>
      <c r="C4" s="110" t="s">
        <v>98</v>
      </c>
      <c r="D4" s="110" t="s">
        <v>98</v>
      </c>
      <c r="E4" s="110" t="s">
        <v>98</v>
      </c>
      <c r="F4" s="110" t="s">
        <v>98</v>
      </c>
      <c r="G4" s="110" t="s">
        <v>98</v>
      </c>
      <c r="H4" s="110" t="s">
        <v>98</v>
      </c>
      <c r="I4" s="110" t="s">
        <v>98</v>
      </c>
      <c r="J4" s="110" t="s">
        <v>98</v>
      </c>
      <c r="K4" s="110" t="s">
        <v>98</v>
      </c>
      <c r="L4" s="110" t="s">
        <v>98</v>
      </c>
      <c r="M4" s="110" t="s">
        <v>98</v>
      </c>
      <c r="N4" s="110" t="s">
        <v>98</v>
      </c>
      <c r="O4" s="110" t="s">
        <v>98</v>
      </c>
      <c r="P4" s="110" t="s">
        <v>98</v>
      </c>
      <c r="Q4" s="110" t="s">
        <v>98</v>
      </c>
      <c r="R4" s="110" t="s">
        <v>98</v>
      </c>
      <c r="S4" s="110" t="s">
        <v>98</v>
      </c>
      <c r="T4" s="110" t="s">
        <v>98</v>
      </c>
      <c r="U4" s="110" t="s">
        <v>98</v>
      </c>
      <c r="V4" s="110" t="s">
        <v>98</v>
      </c>
      <c r="W4" s="110" t="s">
        <v>98</v>
      </c>
      <c r="X4" s="110" t="s">
        <v>98</v>
      </c>
      <c r="Y4" s="110" t="s">
        <v>98</v>
      </c>
      <c r="Z4" s="110" t="s">
        <v>98</v>
      </c>
      <c r="AA4" s="110" t="s">
        <v>98</v>
      </c>
      <c r="AB4" s="110" t="s">
        <v>98</v>
      </c>
      <c r="AC4" s="110" t="s">
        <v>98</v>
      </c>
      <c r="AD4" s="110" t="s">
        <v>98</v>
      </c>
      <c r="AE4" s="110" t="s">
        <v>98</v>
      </c>
      <c r="AF4" s="110" t="s">
        <v>98</v>
      </c>
      <c r="AG4" s="110" t="s">
        <v>98</v>
      </c>
      <c r="AH4" s="110" t="s">
        <v>98</v>
      </c>
      <c r="AI4" s="110" t="s">
        <v>98</v>
      </c>
      <c r="AJ4" s="110" t="s">
        <v>98</v>
      </c>
      <c r="AK4" s="110" t="s">
        <v>98</v>
      </c>
      <c r="AL4" s="110" t="s">
        <v>98</v>
      </c>
      <c r="AM4" s="110" t="s">
        <v>98</v>
      </c>
      <c r="AN4" s="110" t="s">
        <v>98</v>
      </c>
      <c r="AO4" s="110" t="s">
        <v>98</v>
      </c>
      <c r="AP4" s="110" t="s">
        <v>98</v>
      </c>
      <c r="AQ4" s="110" t="s">
        <v>98</v>
      </c>
      <c r="AR4" s="110" t="s">
        <v>98</v>
      </c>
      <c r="AS4" s="110" t="s">
        <v>98</v>
      </c>
      <c r="AT4" s="110" t="s">
        <v>98</v>
      </c>
      <c r="AU4" s="110" t="s">
        <v>98</v>
      </c>
      <c r="AV4" s="110" t="s">
        <v>98</v>
      </c>
      <c r="AW4" s="110" t="s">
        <v>98</v>
      </c>
      <c r="AX4" s="110" t="s">
        <v>98</v>
      </c>
      <c r="AY4" s="110" t="s">
        <v>98</v>
      </c>
      <c r="AZ4" s="110" t="s">
        <v>98</v>
      </c>
      <c r="BA4" s="110" t="s">
        <v>98</v>
      </c>
      <c r="BB4" s="110" t="s">
        <v>98</v>
      </c>
      <c r="BC4" s="110" t="s">
        <v>98</v>
      </c>
      <c r="BD4" s="110" t="s">
        <v>98</v>
      </c>
      <c r="BE4" s="110" t="s">
        <v>98</v>
      </c>
      <c r="BF4" s="110" t="s">
        <v>98</v>
      </c>
      <c r="BG4" s="110" t="s">
        <v>98</v>
      </c>
      <c r="BH4" s="110" t="s">
        <v>98</v>
      </c>
    </row>
    <row r="5" spans="1:60" s="85" customFormat="1" ht="20.5" x14ac:dyDescent="0.45">
      <c r="A5" s="108"/>
      <c r="B5" s="103"/>
      <c r="C5" s="99"/>
      <c r="D5" s="99"/>
      <c r="E5" s="89">
        <v>4</v>
      </c>
      <c r="F5" s="99"/>
      <c r="G5" s="103"/>
      <c r="H5" s="103"/>
      <c r="I5" s="111"/>
      <c r="J5" s="112"/>
      <c r="K5" s="112"/>
      <c r="L5" s="111"/>
      <c r="M5" s="87"/>
      <c r="N5" s="87"/>
      <c r="O5" s="113"/>
      <c r="P5" s="113"/>
      <c r="Q5" s="99"/>
      <c r="R5" s="89"/>
      <c r="S5" s="89"/>
      <c r="T5" s="89"/>
      <c r="U5" s="89"/>
      <c r="V5" s="89"/>
      <c r="W5" s="89"/>
      <c r="X5" s="89"/>
      <c r="Y5" s="89"/>
      <c r="Z5" s="114"/>
      <c r="AA5" s="115"/>
      <c r="AB5" s="99"/>
      <c r="AC5" s="99"/>
      <c r="AD5" s="89"/>
      <c r="AE5" s="99"/>
      <c r="AF5" s="99"/>
      <c r="AG5" s="89"/>
      <c r="AH5" s="99"/>
      <c r="AI5" s="99"/>
      <c r="AJ5" s="99"/>
      <c r="AK5" s="99"/>
      <c r="AL5" s="99"/>
      <c r="AM5" s="87"/>
      <c r="AN5" s="89"/>
      <c r="AO5" s="87"/>
      <c r="AP5" s="89"/>
      <c r="AQ5" s="89"/>
      <c r="AR5" s="115"/>
      <c r="AS5" s="99"/>
      <c r="AT5" s="99"/>
      <c r="AU5" s="103"/>
      <c r="AV5" s="89"/>
      <c r="AW5" s="116">
        <v>1</v>
      </c>
      <c r="AX5" s="116">
        <v>36000000</v>
      </c>
      <c r="AY5" s="116">
        <v>3600000</v>
      </c>
      <c r="AZ5" s="116">
        <v>39600000</v>
      </c>
      <c r="BA5" s="105"/>
      <c r="BB5" s="105"/>
      <c r="BC5" s="105"/>
      <c r="BD5" s="105"/>
    </row>
    <row r="6" spans="1:60" s="85" customFormat="1" ht="70" x14ac:dyDescent="0.3">
      <c r="A6" s="117" t="s">
        <v>0</v>
      </c>
      <c r="B6" s="117" t="s">
        <v>258</v>
      </c>
      <c r="C6" s="117" t="s">
        <v>259</v>
      </c>
      <c r="D6" s="117" t="s">
        <v>260</v>
      </c>
      <c r="E6" s="117" t="s">
        <v>261</v>
      </c>
      <c r="F6" s="117" t="s">
        <v>262</v>
      </c>
      <c r="G6" s="117" t="s">
        <v>250</v>
      </c>
      <c r="H6" s="117" t="s">
        <v>263</v>
      </c>
      <c r="I6" s="117" t="s">
        <v>95</v>
      </c>
      <c r="J6" s="118" t="s">
        <v>264</v>
      </c>
      <c r="K6" s="117" t="s">
        <v>265</v>
      </c>
      <c r="L6" s="117" t="s">
        <v>266</v>
      </c>
      <c r="M6" s="117" t="s">
        <v>267</v>
      </c>
      <c r="N6" s="117" t="s">
        <v>268</v>
      </c>
      <c r="O6" s="117" t="s">
        <v>269</v>
      </c>
      <c r="P6" s="117" t="s">
        <v>270</v>
      </c>
      <c r="Q6" s="117" t="s">
        <v>271</v>
      </c>
      <c r="R6" s="117" t="s">
        <v>272</v>
      </c>
      <c r="S6" s="117" t="s">
        <v>273</v>
      </c>
      <c r="T6" s="117" t="s">
        <v>274</v>
      </c>
      <c r="U6" s="117" t="s">
        <v>275</v>
      </c>
      <c r="V6" s="117" t="s">
        <v>276</v>
      </c>
      <c r="W6" s="117" t="s">
        <v>277</v>
      </c>
      <c r="X6" s="117" t="s">
        <v>278</v>
      </c>
      <c r="Y6" s="117" t="s">
        <v>279</v>
      </c>
      <c r="Z6" s="119" t="s">
        <v>280</v>
      </c>
      <c r="AA6" s="120" t="s">
        <v>281</v>
      </c>
      <c r="AB6" s="117" t="s">
        <v>282</v>
      </c>
      <c r="AC6" s="117" t="s">
        <v>283</v>
      </c>
      <c r="AD6" s="117" t="s">
        <v>284</v>
      </c>
      <c r="AE6" s="117" t="s">
        <v>285</v>
      </c>
      <c r="AF6" s="117" t="s">
        <v>286</v>
      </c>
      <c r="AG6" s="117" t="s">
        <v>287</v>
      </c>
      <c r="AH6" s="117" t="s">
        <v>288</v>
      </c>
      <c r="AI6" s="117" t="s">
        <v>3</v>
      </c>
      <c r="AJ6" s="117" t="s">
        <v>289</v>
      </c>
      <c r="AK6" s="117" t="s">
        <v>290</v>
      </c>
      <c r="AL6" s="117" t="s">
        <v>291</v>
      </c>
      <c r="AM6" s="117" t="s">
        <v>292</v>
      </c>
      <c r="AN6" s="121" t="s">
        <v>293</v>
      </c>
      <c r="AO6" s="121" t="s">
        <v>294</v>
      </c>
      <c r="AP6" s="121" t="s">
        <v>295</v>
      </c>
      <c r="AQ6" s="121" t="s">
        <v>296</v>
      </c>
      <c r="AR6" s="120" t="s">
        <v>55</v>
      </c>
      <c r="AS6" s="117" t="s">
        <v>297</v>
      </c>
      <c r="AT6" s="117" t="s">
        <v>298</v>
      </c>
      <c r="AU6" s="117" t="s">
        <v>299</v>
      </c>
      <c r="AV6" s="121" t="s">
        <v>300</v>
      </c>
      <c r="AW6" s="122" t="s">
        <v>301</v>
      </c>
      <c r="AX6" s="122" t="s">
        <v>302</v>
      </c>
      <c r="AY6" s="122" t="s">
        <v>303</v>
      </c>
      <c r="AZ6" s="122" t="s">
        <v>304</v>
      </c>
      <c r="BA6" s="123" t="s">
        <v>305</v>
      </c>
      <c r="BB6" s="123" t="s">
        <v>306</v>
      </c>
      <c r="BC6" s="123" t="s">
        <v>307</v>
      </c>
      <c r="BD6" s="123" t="s">
        <v>308</v>
      </c>
      <c r="BE6" s="123" t="s">
        <v>309</v>
      </c>
      <c r="BF6" s="123" t="s">
        <v>310</v>
      </c>
      <c r="BG6" s="123" t="s">
        <v>311</v>
      </c>
      <c r="BH6" s="123" t="s">
        <v>312</v>
      </c>
    </row>
    <row r="7" spans="1:60" s="85" customFormat="1" ht="28" x14ac:dyDescent="0.3">
      <c r="A7" s="124">
        <v>1</v>
      </c>
      <c r="B7" s="124" t="s">
        <v>58</v>
      </c>
      <c r="C7" s="124" t="s">
        <v>29</v>
      </c>
      <c r="D7" s="124"/>
      <c r="E7" s="125" t="s">
        <v>10</v>
      </c>
      <c r="F7" s="124" t="s">
        <v>321</v>
      </c>
      <c r="G7" s="125" t="s">
        <v>59</v>
      </c>
      <c r="H7" s="125"/>
      <c r="I7" s="126" t="s">
        <v>81</v>
      </c>
      <c r="J7" s="127">
        <v>33121</v>
      </c>
      <c r="K7" s="124">
        <v>9</v>
      </c>
      <c r="L7" s="124" t="s">
        <v>325</v>
      </c>
      <c r="M7" s="126" t="s">
        <v>326</v>
      </c>
      <c r="N7" s="126" t="s">
        <v>326</v>
      </c>
      <c r="O7" s="128" t="s">
        <v>356</v>
      </c>
      <c r="P7" s="129" t="s">
        <v>357</v>
      </c>
      <c r="Q7" s="124" t="s">
        <v>396</v>
      </c>
      <c r="R7" s="124"/>
      <c r="S7" s="124"/>
      <c r="T7" s="124"/>
      <c r="U7" s="124"/>
      <c r="V7" s="124"/>
      <c r="W7" s="124"/>
      <c r="X7" s="124"/>
      <c r="Y7" s="124" t="s">
        <v>315</v>
      </c>
      <c r="Z7" s="130" t="s">
        <v>427</v>
      </c>
      <c r="AA7" s="131">
        <v>42962</v>
      </c>
      <c r="AB7" s="124" t="s">
        <v>428</v>
      </c>
      <c r="AC7" s="124" t="s">
        <v>429</v>
      </c>
      <c r="AD7" s="124">
        <v>2</v>
      </c>
      <c r="AE7" s="124" t="s">
        <v>454</v>
      </c>
      <c r="AF7" s="124" t="s">
        <v>474</v>
      </c>
      <c r="AG7" s="124" t="s">
        <v>314</v>
      </c>
      <c r="AH7" s="124" t="s">
        <v>314</v>
      </c>
      <c r="AI7" s="132">
        <v>43101</v>
      </c>
      <c r="AJ7" s="132">
        <v>43101</v>
      </c>
      <c r="AK7" s="133"/>
      <c r="AL7" s="134">
        <v>43161</v>
      </c>
      <c r="AM7" s="124" t="s">
        <v>479</v>
      </c>
      <c r="AN7" s="135" t="s">
        <v>316</v>
      </c>
      <c r="AO7" s="125" t="s">
        <v>317</v>
      </c>
      <c r="AP7" s="135">
        <v>181103148</v>
      </c>
      <c r="AQ7" s="135" t="s">
        <v>318</v>
      </c>
      <c r="AR7" s="132">
        <v>73415</v>
      </c>
      <c r="AS7" s="133" t="s">
        <v>251</v>
      </c>
      <c r="AT7" s="124"/>
      <c r="AU7" s="125"/>
      <c r="AV7" s="136" t="s">
        <v>319</v>
      </c>
      <c r="AW7" s="137">
        <v>0</v>
      </c>
      <c r="AX7" s="137">
        <v>9000000</v>
      </c>
      <c r="AY7" s="137">
        <v>0</v>
      </c>
      <c r="AZ7" s="137">
        <v>9000000</v>
      </c>
      <c r="BA7" s="138" t="s">
        <v>320</v>
      </c>
      <c r="BB7" s="138" t="s">
        <v>320</v>
      </c>
      <c r="BC7" s="138" t="s">
        <v>320</v>
      </c>
      <c r="BD7" s="138" t="s">
        <v>320</v>
      </c>
      <c r="BE7" s="138" t="s">
        <v>320</v>
      </c>
      <c r="BF7" s="138" t="s">
        <v>320</v>
      </c>
      <c r="BG7" s="138"/>
      <c r="BH7" s="138" t="s">
        <v>320</v>
      </c>
    </row>
    <row r="8" spans="1:60" s="85" customFormat="1" ht="42" x14ac:dyDescent="0.3">
      <c r="A8" s="124">
        <v>1</v>
      </c>
      <c r="B8" s="124" t="s">
        <v>58</v>
      </c>
      <c r="C8" s="124" t="s">
        <v>30</v>
      </c>
      <c r="D8" s="124"/>
      <c r="E8" s="125" t="s">
        <v>54</v>
      </c>
      <c r="F8" s="124" t="s">
        <v>321</v>
      </c>
      <c r="G8" s="125" t="s">
        <v>59</v>
      </c>
      <c r="H8" s="125"/>
      <c r="I8" s="126" t="s">
        <v>82</v>
      </c>
      <c r="J8" s="127">
        <v>27825</v>
      </c>
      <c r="K8" s="124">
        <v>3</v>
      </c>
      <c r="L8" s="124" t="s">
        <v>325</v>
      </c>
      <c r="M8" s="126" t="s">
        <v>327</v>
      </c>
      <c r="N8" s="126" t="s">
        <v>328</v>
      </c>
      <c r="O8" s="128" t="s">
        <v>358</v>
      </c>
      <c r="P8" s="129" t="s">
        <v>359</v>
      </c>
      <c r="Q8" s="124" t="s">
        <v>397</v>
      </c>
      <c r="R8" s="124" t="s">
        <v>398</v>
      </c>
      <c r="S8" s="124" t="s">
        <v>399</v>
      </c>
      <c r="T8" s="124">
        <v>36697</v>
      </c>
      <c r="U8" s="124"/>
      <c r="V8" s="124"/>
      <c r="W8" s="124"/>
      <c r="X8" s="124"/>
      <c r="Y8" s="124"/>
      <c r="Z8" s="130" t="s">
        <v>430</v>
      </c>
      <c r="AA8" s="131" t="s">
        <v>431</v>
      </c>
      <c r="AB8" s="124" t="s">
        <v>428</v>
      </c>
      <c r="AC8" s="124" t="s">
        <v>429</v>
      </c>
      <c r="AD8" s="124">
        <v>3</v>
      </c>
      <c r="AE8" s="124" t="s">
        <v>455</v>
      </c>
      <c r="AF8" s="124" t="s">
        <v>475</v>
      </c>
      <c r="AG8" s="124" t="s">
        <v>314</v>
      </c>
      <c r="AH8" s="124" t="s">
        <v>314</v>
      </c>
      <c r="AI8" s="132">
        <v>39083</v>
      </c>
      <c r="AJ8" s="132">
        <v>39083</v>
      </c>
      <c r="AK8" s="133"/>
      <c r="AL8" s="134">
        <v>39143</v>
      </c>
      <c r="AM8" s="124" t="s">
        <v>479</v>
      </c>
      <c r="AN8" s="135" t="s">
        <v>481</v>
      </c>
      <c r="AO8" s="125"/>
      <c r="AP8" s="135"/>
      <c r="AQ8" s="135"/>
      <c r="AR8" s="132"/>
      <c r="AS8" s="133"/>
      <c r="AT8" s="124"/>
      <c r="AU8" s="125"/>
      <c r="AV8" s="136"/>
      <c r="AW8" s="137"/>
      <c r="AX8" s="137"/>
      <c r="AY8" s="137"/>
      <c r="AZ8" s="137"/>
      <c r="BA8" s="138"/>
      <c r="BB8" s="138"/>
      <c r="BC8" s="138"/>
      <c r="BD8" s="138"/>
      <c r="BE8" s="138"/>
      <c r="BF8" s="138"/>
      <c r="BG8" s="138"/>
      <c r="BH8" s="138"/>
    </row>
    <row r="9" spans="1:60" s="85" customFormat="1" ht="28" x14ac:dyDescent="0.3">
      <c r="A9" s="124">
        <v>1</v>
      </c>
      <c r="B9" s="124" t="s">
        <v>58</v>
      </c>
      <c r="C9" s="124" t="s">
        <v>31</v>
      </c>
      <c r="D9" s="124"/>
      <c r="E9" s="125" t="s">
        <v>76</v>
      </c>
      <c r="F9" s="124" t="s">
        <v>313</v>
      </c>
      <c r="G9" s="125" t="s">
        <v>62</v>
      </c>
      <c r="H9" s="125"/>
      <c r="I9" s="126" t="s">
        <v>83</v>
      </c>
      <c r="J9" s="127">
        <v>33396</v>
      </c>
      <c r="K9" s="124">
        <v>6</v>
      </c>
      <c r="L9" s="124" t="s">
        <v>325</v>
      </c>
      <c r="M9" s="126" t="s">
        <v>329</v>
      </c>
      <c r="N9" s="126" t="s">
        <v>329</v>
      </c>
      <c r="O9" s="128" t="s">
        <v>360</v>
      </c>
      <c r="P9" s="129" t="s">
        <v>361</v>
      </c>
      <c r="Q9" s="124" t="s">
        <v>396</v>
      </c>
      <c r="R9" s="124"/>
      <c r="S9" s="124"/>
      <c r="T9" s="124"/>
      <c r="U9" s="124"/>
      <c r="V9" s="124"/>
      <c r="W9" s="124"/>
      <c r="X9" s="124"/>
      <c r="Y9" s="124"/>
      <c r="Z9" s="130" t="s">
        <v>432</v>
      </c>
      <c r="AA9" s="131">
        <v>38434</v>
      </c>
      <c r="AB9" s="124" t="s">
        <v>428</v>
      </c>
      <c r="AC9" s="124" t="s">
        <v>429</v>
      </c>
      <c r="AD9" s="124">
        <v>1</v>
      </c>
      <c r="AE9" s="124" t="s">
        <v>456</v>
      </c>
      <c r="AF9" s="124" t="s">
        <v>475</v>
      </c>
      <c r="AG9" s="124" t="s">
        <v>314</v>
      </c>
      <c r="AH9" s="124" t="s">
        <v>314</v>
      </c>
      <c r="AI9" s="132">
        <v>42863</v>
      </c>
      <c r="AJ9" s="132">
        <v>42863</v>
      </c>
      <c r="AK9" s="133"/>
      <c r="AL9" s="134">
        <v>42923</v>
      </c>
      <c r="AM9" s="124" t="s">
        <v>479</v>
      </c>
      <c r="AN9" s="135" t="s">
        <v>481</v>
      </c>
      <c r="AO9" s="125"/>
      <c r="AP9" s="135"/>
      <c r="AQ9" s="135"/>
      <c r="AR9" s="132"/>
      <c r="AS9" s="133"/>
      <c r="AT9" s="124"/>
      <c r="AU9" s="125"/>
      <c r="AV9" s="136"/>
      <c r="AW9" s="137"/>
      <c r="AX9" s="137"/>
      <c r="AY9" s="137"/>
      <c r="AZ9" s="137"/>
      <c r="BA9" s="138"/>
      <c r="BB9" s="138"/>
      <c r="BC9" s="138"/>
      <c r="BD9" s="138"/>
      <c r="BE9" s="138"/>
      <c r="BF9" s="138"/>
      <c r="BG9" s="138"/>
      <c r="BH9" s="138"/>
    </row>
    <row r="10" spans="1:60" s="85" customFormat="1" ht="28" x14ac:dyDescent="0.3">
      <c r="A10" s="124">
        <v>1</v>
      </c>
      <c r="B10" s="124" t="s">
        <v>58</v>
      </c>
      <c r="C10" s="124" t="s">
        <v>43</v>
      </c>
      <c r="D10" s="124"/>
      <c r="E10" s="125" t="s">
        <v>6</v>
      </c>
      <c r="F10" s="124" t="s">
        <v>321</v>
      </c>
      <c r="G10" s="125" t="s">
        <v>62</v>
      </c>
      <c r="H10" s="125"/>
      <c r="I10" s="126" t="s">
        <v>84</v>
      </c>
      <c r="J10" s="127">
        <v>34723</v>
      </c>
      <c r="K10" s="124">
        <v>1</v>
      </c>
      <c r="L10" s="124" t="s">
        <v>325</v>
      </c>
      <c r="M10" s="126" t="s">
        <v>330</v>
      </c>
      <c r="N10" s="126" t="s">
        <v>330</v>
      </c>
      <c r="O10" s="128" t="s">
        <v>362</v>
      </c>
      <c r="P10" s="129" t="s">
        <v>363</v>
      </c>
      <c r="Q10" s="124" t="s">
        <v>396</v>
      </c>
      <c r="R10" s="124"/>
      <c r="S10" s="124"/>
      <c r="T10" s="124"/>
      <c r="U10" s="124"/>
      <c r="V10" s="124"/>
      <c r="W10" s="124"/>
      <c r="X10" s="124"/>
      <c r="Y10" s="124"/>
      <c r="Z10" s="130" t="s">
        <v>433</v>
      </c>
      <c r="AA10" s="131">
        <v>41305</v>
      </c>
      <c r="AB10" s="124" t="s">
        <v>428</v>
      </c>
      <c r="AC10" s="124" t="s">
        <v>429</v>
      </c>
      <c r="AD10" s="124">
        <v>0</v>
      </c>
      <c r="AE10" s="124" t="s">
        <v>457</v>
      </c>
      <c r="AF10" s="124" t="s">
        <v>475</v>
      </c>
      <c r="AG10" s="124" t="s">
        <v>314</v>
      </c>
      <c r="AH10" s="124" t="s">
        <v>314</v>
      </c>
      <c r="AI10" s="132">
        <v>43435</v>
      </c>
      <c r="AJ10" s="132">
        <v>43435</v>
      </c>
      <c r="AK10" s="133"/>
      <c r="AL10" s="134">
        <v>43495</v>
      </c>
      <c r="AM10" s="124" t="s">
        <v>479</v>
      </c>
      <c r="AN10" s="135" t="s">
        <v>481</v>
      </c>
      <c r="AO10" s="125"/>
      <c r="AP10" s="135"/>
      <c r="AQ10" s="135"/>
      <c r="AR10" s="132"/>
      <c r="AS10" s="133"/>
      <c r="AT10" s="124"/>
      <c r="AU10" s="125"/>
      <c r="AV10" s="136"/>
      <c r="AW10" s="137"/>
      <c r="AX10" s="137"/>
      <c r="AY10" s="137"/>
      <c r="AZ10" s="137"/>
      <c r="BA10" s="138"/>
      <c r="BB10" s="138"/>
      <c r="BC10" s="138"/>
      <c r="BD10" s="138"/>
      <c r="BE10" s="138"/>
      <c r="BF10" s="138"/>
      <c r="BG10" s="138"/>
      <c r="BH10" s="138"/>
    </row>
    <row r="11" spans="1:60" s="85" customFormat="1" ht="28" x14ac:dyDescent="0.3">
      <c r="A11" s="124">
        <v>1</v>
      </c>
      <c r="B11" s="124" t="s">
        <v>58</v>
      </c>
      <c r="C11" s="124" t="s">
        <v>42</v>
      </c>
      <c r="D11" s="124"/>
      <c r="E11" s="125" t="s">
        <v>73</v>
      </c>
      <c r="F11" s="124" t="s">
        <v>321</v>
      </c>
      <c r="G11" s="125" t="s">
        <v>62</v>
      </c>
      <c r="H11" s="125"/>
      <c r="I11" s="126" t="s">
        <v>85</v>
      </c>
      <c r="J11" s="127" t="s">
        <v>322</v>
      </c>
      <c r="K11" s="124">
        <v>5</v>
      </c>
      <c r="L11" s="124" t="s">
        <v>325</v>
      </c>
      <c r="M11" s="126" t="s">
        <v>331</v>
      </c>
      <c r="N11" s="126" t="s">
        <v>331</v>
      </c>
      <c r="O11" s="128" t="s">
        <v>364</v>
      </c>
      <c r="P11" s="129" t="s">
        <v>365</v>
      </c>
      <c r="Q11" s="124" t="s">
        <v>397</v>
      </c>
      <c r="R11" s="124" t="s">
        <v>400</v>
      </c>
      <c r="S11" s="124" t="s">
        <v>401</v>
      </c>
      <c r="T11" s="124">
        <v>42551</v>
      </c>
      <c r="U11" s="124"/>
      <c r="V11" s="124"/>
      <c r="W11" s="124"/>
      <c r="X11" s="124"/>
      <c r="Y11" s="124"/>
      <c r="Z11" s="130" t="s">
        <v>434</v>
      </c>
      <c r="AA11" s="131">
        <v>42962</v>
      </c>
      <c r="AB11" s="124" t="s">
        <v>428</v>
      </c>
      <c r="AC11" s="124">
        <v>8137077978</v>
      </c>
      <c r="AD11" s="124">
        <v>0</v>
      </c>
      <c r="AE11" s="124" t="s">
        <v>458</v>
      </c>
      <c r="AF11" s="124" t="s">
        <v>474</v>
      </c>
      <c r="AG11" s="124" t="s">
        <v>314</v>
      </c>
      <c r="AH11" s="124" t="s">
        <v>314</v>
      </c>
      <c r="AI11" s="132">
        <v>43399</v>
      </c>
      <c r="AJ11" s="132">
        <v>43399</v>
      </c>
      <c r="AK11" s="133"/>
      <c r="AL11" s="134">
        <v>43459</v>
      </c>
      <c r="AM11" s="124" t="s">
        <v>479</v>
      </c>
      <c r="AN11" s="135" t="s">
        <v>481</v>
      </c>
      <c r="AO11" s="125"/>
      <c r="AP11" s="135"/>
      <c r="AQ11" s="135"/>
      <c r="AR11" s="132"/>
      <c r="AS11" s="133"/>
      <c r="AT11" s="124"/>
      <c r="AU11" s="125"/>
      <c r="AV11" s="136"/>
      <c r="AW11" s="137"/>
      <c r="AX11" s="137"/>
      <c r="AY11" s="137"/>
      <c r="AZ11" s="137"/>
      <c r="BA11" s="138"/>
      <c r="BB11" s="138"/>
      <c r="BC11" s="138"/>
      <c r="BD11" s="138"/>
      <c r="BE11" s="138"/>
      <c r="BF11" s="138"/>
      <c r="BG11" s="138"/>
      <c r="BH11" s="138"/>
    </row>
    <row r="12" spans="1:60" s="85" customFormat="1" ht="28" x14ac:dyDescent="0.3">
      <c r="A12" s="124">
        <v>1</v>
      </c>
      <c r="B12" s="124" t="s">
        <v>58</v>
      </c>
      <c r="C12" s="124" t="s">
        <v>40</v>
      </c>
      <c r="D12" s="124"/>
      <c r="E12" s="125" t="s">
        <v>8</v>
      </c>
      <c r="F12" s="124" t="s">
        <v>321</v>
      </c>
      <c r="G12" s="125" t="s">
        <v>60</v>
      </c>
      <c r="H12" s="125"/>
      <c r="I12" s="126" t="s">
        <v>86</v>
      </c>
      <c r="J12" s="127">
        <v>30551</v>
      </c>
      <c r="K12" s="124">
        <v>8</v>
      </c>
      <c r="L12" s="124" t="s">
        <v>325</v>
      </c>
      <c r="M12" s="126" t="s">
        <v>332</v>
      </c>
      <c r="N12" s="126" t="s">
        <v>332</v>
      </c>
      <c r="O12" s="128" t="s">
        <v>366</v>
      </c>
      <c r="P12" s="129" t="s">
        <v>367</v>
      </c>
      <c r="Q12" s="124" t="s">
        <v>397</v>
      </c>
      <c r="R12" s="124" t="s">
        <v>402</v>
      </c>
      <c r="S12" s="124" t="s">
        <v>403</v>
      </c>
      <c r="T12" s="124">
        <v>38523</v>
      </c>
      <c r="U12" s="124" t="s">
        <v>404</v>
      </c>
      <c r="V12" s="124">
        <v>40953</v>
      </c>
      <c r="W12" s="124"/>
      <c r="X12" s="124"/>
      <c r="Y12" s="124"/>
      <c r="Z12" s="130" t="s">
        <v>435</v>
      </c>
      <c r="AA12" s="131">
        <v>41837</v>
      </c>
      <c r="AB12" s="124" t="s">
        <v>428</v>
      </c>
      <c r="AC12" s="124" t="s">
        <v>429</v>
      </c>
      <c r="AD12" s="124">
        <v>0</v>
      </c>
      <c r="AE12" s="124" t="s">
        <v>459</v>
      </c>
      <c r="AF12" s="124" t="s">
        <v>476</v>
      </c>
      <c r="AG12" s="124" t="s">
        <v>314</v>
      </c>
      <c r="AH12" s="124" t="s">
        <v>314</v>
      </c>
      <c r="AI12" s="132">
        <v>38718</v>
      </c>
      <c r="AJ12" s="132">
        <v>38718</v>
      </c>
      <c r="AK12" s="133"/>
      <c r="AL12" s="134">
        <v>38778</v>
      </c>
      <c r="AM12" s="124" t="s">
        <v>479</v>
      </c>
      <c r="AN12" s="135" t="s">
        <v>481</v>
      </c>
      <c r="AO12" s="125"/>
      <c r="AP12" s="135"/>
      <c r="AQ12" s="135"/>
      <c r="AR12" s="132"/>
      <c r="AS12" s="133"/>
      <c r="AT12" s="124"/>
      <c r="AU12" s="125"/>
      <c r="AV12" s="136"/>
      <c r="AW12" s="137"/>
      <c r="AX12" s="137"/>
      <c r="AY12" s="137"/>
      <c r="AZ12" s="137"/>
      <c r="BA12" s="138"/>
      <c r="BB12" s="138"/>
      <c r="BC12" s="138"/>
      <c r="BD12" s="138"/>
      <c r="BE12" s="138"/>
      <c r="BF12" s="138"/>
      <c r="BG12" s="138"/>
      <c r="BH12" s="138"/>
    </row>
    <row r="13" spans="1:60" s="85" customFormat="1" ht="28" x14ac:dyDescent="0.3">
      <c r="A13" s="124">
        <v>1</v>
      </c>
      <c r="B13" s="124" t="s">
        <v>58</v>
      </c>
      <c r="C13" s="124" t="s">
        <v>47</v>
      </c>
      <c r="D13" s="124"/>
      <c r="E13" s="125" t="s">
        <v>69</v>
      </c>
      <c r="F13" s="124" t="s">
        <v>321</v>
      </c>
      <c r="G13" s="125" t="s">
        <v>60</v>
      </c>
      <c r="H13" s="125"/>
      <c r="I13" s="126" t="s">
        <v>87</v>
      </c>
      <c r="J13" s="127">
        <v>33478</v>
      </c>
      <c r="K13" s="124">
        <v>8</v>
      </c>
      <c r="L13" s="124" t="s">
        <v>333</v>
      </c>
      <c r="M13" s="126" t="s">
        <v>334</v>
      </c>
      <c r="N13" s="126" t="s">
        <v>335</v>
      </c>
      <c r="O13" s="128" t="s">
        <v>368</v>
      </c>
      <c r="P13" s="129" t="s">
        <v>369</v>
      </c>
      <c r="Q13" s="124" t="s">
        <v>396</v>
      </c>
      <c r="R13" s="124"/>
      <c r="S13" s="124"/>
      <c r="T13" s="124"/>
      <c r="U13" s="124"/>
      <c r="V13" s="124"/>
      <c r="W13" s="124"/>
      <c r="X13" s="124"/>
      <c r="Y13" s="124"/>
      <c r="Z13" s="130" t="s">
        <v>436</v>
      </c>
      <c r="AA13" s="131">
        <v>39244</v>
      </c>
      <c r="AB13" s="124" t="s">
        <v>428</v>
      </c>
      <c r="AC13" s="124">
        <v>8137077979</v>
      </c>
      <c r="AD13" s="124">
        <v>1</v>
      </c>
      <c r="AE13" s="124" t="s">
        <v>460</v>
      </c>
      <c r="AF13" s="124" t="s">
        <v>475</v>
      </c>
      <c r="AG13" s="124" t="s">
        <v>314</v>
      </c>
      <c r="AH13" s="124" t="s">
        <v>314</v>
      </c>
      <c r="AI13" s="132">
        <v>42527</v>
      </c>
      <c r="AJ13" s="132">
        <v>42527</v>
      </c>
      <c r="AK13" s="133"/>
      <c r="AL13" s="134">
        <v>42587</v>
      </c>
      <c r="AM13" s="124" t="s">
        <v>479</v>
      </c>
      <c r="AN13" s="135" t="s">
        <v>481</v>
      </c>
      <c r="AO13" s="125"/>
      <c r="AP13" s="135"/>
      <c r="AQ13" s="135"/>
      <c r="AR13" s="132"/>
      <c r="AS13" s="133"/>
      <c r="AT13" s="124"/>
      <c r="AU13" s="125"/>
      <c r="AV13" s="136"/>
      <c r="AW13" s="137"/>
      <c r="AX13" s="137"/>
      <c r="AY13" s="137"/>
      <c r="AZ13" s="137"/>
      <c r="BA13" s="138"/>
      <c r="BB13" s="138"/>
      <c r="BC13" s="138"/>
      <c r="BD13" s="138"/>
      <c r="BE13" s="138"/>
      <c r="BF13" s="138"/>
      <c r="BG13" s="138"/>
      <c r="BH13" s="138"/>
    </row>
    <row r="14" spans="1:60" s="85" customFormat="1" ht="28" x14ac:dyDescent="0.3">
      <c r="A14" s="124">
        <v>1</v>
      </c>
      <c r="B14" s="124" t="s">
        <v>58</v>
      </c>
      <c r="C14" s="124" t="s">
        <v>41</v>
      </c>
      <c r="D14" s="124"/>
      <c r="E14" s="125" t="s">
        <v>7</v>
      </c>
      <c r="F14" s="124" t="s">
        <v>321</v>
      </c>
      <c r="G14" s="125" t="s">
        <v>61</v>
      </c>
      <c r="H14" s="125"/>
      <c r="I14" s="126" t="s">
        <v>88</v>
      </c>
      <c r="J14" s="127">
        <v>29388</v>
      </c>
      <c r="K14" s="124">
        <v>6</v>
      </c>
      <c r="L14" s="124" t="s">
        <v>336</v>
      </c>
      <c r="M14" s="126" t="s">
        <v>337</v>
      </c>
      <c r="N14" s="126" t="s">
        <v>337</v>
      </c>
      <c r="O14" s="128" t="s">
        <v>370</v>
      </c>
      <c r="P14" s="129" t="s">
        <v>371</v>
      </c>
      <c r="Q14" s="124" t="s">
        <v>396</v>
      </c>
      <c r="R14" s="124"/>
      <c r="S14" s="124"/>
      <c r="T14" s="124"/>
      <c r="U14" s="124"/>
      <c r="V14" s="124"/>
      <c r="W14" s="124"/>
      <c r="X14" s="124"/>
      <c r="Y14" s="124"/>
      <c r="Z14" s="130" t="s">
        <v>437</v>
      </c>
      <c r="AA14" s="131">
        <v>41035</v>
      </c>
      <c r="AB14" s="124" t="s">
        <v>438</v>
      </c>
      <c r="AC14" s="124" t="s">
        <v>429</v>
      </c>
      <c r="AD14" s="124">
        <v>2</v>
      </c>
      <c r="AE14" s="124" t="s">
        <v>461</v>
      </c>
      <c r="AF14" s="124" t="s">
        <v>475</v>
      </c>
      <c r="AG14" s="124" t="s">
        <v>314</v>
      </c>
      <c r="AH14" s="124" t="s">
        <v>314</v>
      </c>
      <c r="AI14" s="132">
        <v>40513</v>
      </c>
      <c r="AJ14" s="132">
        <v>40513</v>
      </c>
      <c r="AK14" s="133"/>
      <c r="AL14" s="134">
        <v>40573</v>
      </c>
      <c r="AM14" s="124" t="s">
        <v>479</v>
      </c>
      <c r="AN14" s="135" t="s">
        <v>481</v>
      </c>
      <c r="AO14" s="125"/>
      <c r="AP14" s="135"/>
      <c r="AQ14" s="135"/>
      <c r="AR14" s="132"/>
      <c r="AS14" s="133"/>
      <c r="AT14" s="124"/>
      <c r="AU14" s="125"/>
      <c r="AV14" s="136"/>
      <c r="AW14" s="137"/>
      <c r="AX14" s="137"/>
      <c r="AY14" s="137"/>
      <c r="AZ14" s="137"/>
      <c r="BA14" s="138"/>
      <c r="BB14" s="138"/>
      <c r="BC14" s="138"/>
      <c r="BD14" s="138"/>
      <c r="BE14" s="138"/>
      <c r="BF14" s="138"/>
      <c r="BG14" s="138"/>
      <c r="BH14" s="138"/>
    </row>
    <row r="15" spans="1:60" s="85" customFormat="1" ht="28" x14ac:dyDescent="0.3">
      <c r="A15" s="124">
        <v>1</v>
      </c>
      <c r="B15" s="124" t="s">
        <v>58</v>
      </c>
      <c r="C15" s="124" t="s">
        <v>45</v>
      </c>
      <c r="D15" s="124"/>
      <c r="E15" s="125" t="s">
        <v>48</v>
      </c>
      <c r="F15" s="124" t="s">
        <v>321</v>
      </c>
      <c r="G15" s="125" t="s">
        <v>61</v>
      </c>
      <c r="H15" s="125"/>
      <c r="I15" s="126" t="s">
        <v>89</v>
      </c>
      <c r="J15" s="127">
        <v>29261</v>
      </c>
      <c r="K15" s="124">
        <v>2</v>
      </c>
      <c r="L15" s="124" t="s">
        <v>338</v>
      </c>
      <c r="M15" s="126" t="s">
        <v>339</v>
      </c>
      <c r="N15" s="126" t="s">
        <v>340</v>
      </c>
      <c r="O15" s="128" t="s">
        <v>372</v>
      </c>
      <c r="P15" s="129" t="s">
        <v>373</v>
      </c>
      <c r="Q15" s="124" t="s">
        <v>397</v>
      </c>
      <c r="R15" s="124" t="s">
        <v>405</v>
      </c>
      <c r="S15" s="124" t="s">
        <v>406</v>
      </c>
      <c r="T15" s="124">
        <v>39403</v>
      </c>
      <c r="U15" s="124" t="s">
        <v>407</v>
      </c>
      <c r="V15" s="124">
        <v>40681</v>
      </c>
      <c r="W15" s="124"/>
      <c r="X15" s="124"/>
      <c r="Y15" s="124"/>
      <c r="Z15" s="130" t="s">
        <v>439</v>
      </c>
      <c r="AA15" s="131">
        <v>41451</v>
      </c>
      <c r="AB15" s="124" t="s">
        <v>428</v>
      </c>
      <c r="AC15" s="124">
        <v>8137077980</v>
      </c>
      <c r="AD15" s="124">
        <v>3</v>
      </c>
      <c r="AE15" s="124" t="s">
        <v>462</v>
      </c>
      <c r="AF15" s="124" t="s">
        <v>475</v>
      </c>
      <c r="AG15" s="124" t="s">
        <v>314</v>
      </c>
      <c r="AH15" s="124" t="s">
        <v>314</v>
      </c>
      <c r="AI15" s="132">
        <v>40756</v>
      </c>
      <c r="AJ15" s="132">
        <v>40756</v>
      </c>
      <c r="AK15" s="133"/>
      <c r="AL15" s="134">
        <v>40816</v>
      </c>
      <c r="AM15" s="124" t="s">
        <v>479</v>
      </c>
      <c r="AN15" s="135" t="s">
        <v>481</v>
      </c>
      <c r="AO15" s="125"/>
      <c r="AP15" s="135"/>
      <c r="AQ15" s="135"/>
      <c r="AR15" s="132"/>
      <c r="AS15" s="133"/>
      <c r="AT15" s="124"/>
      <c r="AU15" s="125"/>
      <c r="AV15" s="136"/>
      <c r="AW15" s="137"/>
      <c r="AX15" s="137"/>
      <c r="AY15" s="137"/>
      <c r="AZ15" s="137"/>
      <c r="BA15" s="138"/>
      <c r="BB15" s="138"/>
      <c r="BC15" s="138"/>
      <c r="BD15" s="138"/>
      <c r="BE15" s="138"/>
      <c r="BF15" s="138"/>
      <c r="BG15" s="138"/>
      <c r="BH15" s="138"/>
    </row>
    <row r="16" spans="1:60" s="85" customFormat="1" ht="28" x14ac:dyDescent="0.3">
      <c r="A16" s="124">
        <v>1</v>
      </c>
      <c r="B16" s="124" t="s">
        <v>58</v>
      </c>
      <c r="C16" s="124" t="s">
        <v>33</v>
      </c>
      <c r="D16" s="124"/>
      <c r="E16" s="125" t="s">
        <v>5</v>
      </c>
      <c r="F16" s="124" t="s">
        <v>321</v>
      </c>
      <c r="G16" s="125" t="s">
        <v>61</v>
      </c>
      <c r="H16" s="125"/>
      <c r="I16" s="126" t="s">
        <v>90</v>
      </c>
      <c r="J16" s="127">
        <v>30265</v>
      </c>
      <c r="K16" s="124">
        <v>11</v>
      </c>
      <c r="L16" s="124" t="s">
        <v>341</v>
      </c>
      <c r="M16" s="126" t="s">
        <v>342</v>
      </c>
      <c r="N16" s="126" t="s">
        <v>342</v>
      </c>
      <c r="O16" s="128" t="s">
        <v>374</v>
      </c>
      <c r="P16" s="129" t="s">
        <v>375</v>
      </c>
      <c r="Q16" s="124" t="s">
        <v>397</v>
      </c>
      <c r="R16" s="124" t="s">
        <v>408</v>
      </c>
      <c r="S16" s="124" t="s">
        <v>409</v>
      </c>
      <c r="T16" s="124">
        <v>40320</v>
      </c>
      <c r="U16" s="124" t="s">
        <v>410</v>
      </c>
      <c r="V16" s="124">
        <v>41190</v>
      </c>
      <c r="W16" s="124"/>
      <c r="X16" s="124"/>
      <c r="Y16" s="124"/>
      <c r="Z16" s="130" t="s">
        <v>440</v>
      </c>
      <c r="AA16" s="131">
        <v>39381</v>
      </c>
      <c r="AB16" s="124" t="s">
        <v>428</v>
      </c>
      <c r="AC16" s="124" t="s">
        <v>429</v>
      </c>
      <c r="AD16" s="124">
        <v>0</v>
      </c>
      <c r="AE16" s="124" t="s">
        <v>463</v>
      </c>
      <c r="AF16" s="124" t="s">
        <v>477</v>
      </c>
      <c r="AG16" s="124" t="s">
        <v>314</v>
      </c>
      <c r="AH16" s="124" t="s">
        <v>314</v>
      </c>
      <c r="AI16" s="132">
        <v>41609</v>
      </c>
      <c r="AJ16" s="132">
        <v>41609</v>
      </c>
      <c r="AK16" s="133"/>
      <c r="AL16" s="134">
        <v>41669</v>
      </c>
      <c r="AM16" s="124" t="s">
        <v>479</v>
      </c>
      <c r="AN16" s="135" t="s">
        <v>481</v>
      </c>
      <c r="AO16" s="125"/>
      <c r="AP16" s="135"/>
      <c r="AQ16" s="135"/>
      <c r="AR16" s="132"/>
      <c r="AS16" s="133"/>
      <c r="AT16" s="124"/>
      <c r="AU16" s="125"/>
      <c r="AV16" s="136"/>
      <c r="AW16" s="137"/>
      <c r="AX16" s="137"/>
      <c r="AY16" s="137"/>
      <c r="AZ16" s="137"/>
      <c r="BA16" s="138"/>
      <c r="BB16" s="138"/>
      <c r="BC16" s="138"/>
      <c r="BD16" s="138"/>
      <c r="BE16" s="138"/>
      <c r="BF16" s="138"/>
      <c r="BG16" s="138"/>
      <c r="BH16" s="138"/>
    </row>
    <row r="17" spans="1:60" s="85" customFormat="1" ht="28" x14ac:dyDescent="0.3">
      <c r="A17" s="124">
        <v>1</v>
      </c>
      <c r="B17" s="124" t="s">
        <v>58</v>
      </c>
      <c r="C17" s="124" t="s">
        <v>32</v>
      </c>
      <c r="D17" s="124"/>
      <c r="E17" s="125" t="s">
        <v>68</v>
      </c>
      <c r="F17" s="124" t="s">
        <v>321</v>
      </c>
      <c r="G17" s="125" t="s">
        <v>61</v>
      </c>
      <c r="H17" s="125"/>
      <c r="I17" s="126" t="s">
        <v>91</v>
      </c>
      <c r="J17" s="127">
        <v>34922</v>
      </c>
      <c r="K17" s="124">
        <v>8</v>
      </c>
      <c r="L17" s="124" t="s">
        <v>343</v>
      </c>
      <c r="M17" s="126" t="s">
        <v>344</v>
      </c>
      <c r="N17" s="126" t="s">
        <v>345</v>
      </c>
      <c r="O17" s="128" t="s">
        <v>376</v>
      </c>
      <c r="P17" s="129" t="s">
        <v>377</v>
      </c>
      <c r="Q17" s="124" t="s">
        <v>396</v>
      </c>
      <c r="R17" s="124"/>
      <c r="S17" s="124"/>
      <c r="T17" s="124"/>
      <c r="U17" s="124"/>
      <c r="V17" s="124"/>
      <c r="W17" s="124"/>
      <c r="X17" s="124"/>
      <c r="Y17" s="124"/>
      <c r="Z17" s="130" t="s">
        <v>441</v>
      </c>
      <c r="AA17" s="131">
        <v>40764</v>
      </c>
      <c r="AB17" s="124" t="s">
        <v>442</v>
      </c>
      <c r="AC17" s="124">
        <v>8137077981</v>
      </c>
      <c r="AD17" s="124">
        <v>1</v>
      </c>
      <c r="AE17" s="124" t="s">
        <v>464</v>
      </c>
      <c r="AF17" s="124" t="s">
        <v>475</v>
      </c>
      <c r="AG17" s="124" t="s">
        <v>314</v>
      </c>
      <c r="AH17" s="124" t="s">
        <v>314</v>
      </c>
      <c r="AI17" s="132">
        <v>43053</v>
      </c>
      <c r="AJ17" s="132">
        <v>43053</v>
      </c>
      <c r="AK17" s="133"/>
      <c r="AL17" s="134">
        <v>43113</v>
      </c>
      <c r="AM17" s="124" t="s">
        <v>479</v>
      </c>
      <c r="AN17" s="135" t="s">
        <v>481</v>
      </c>
      <c r="AO17" s="125"/>
      <c r="AP17" s="135"/>
      <c r="AQ17" s="135"/>
      <c r="AR17" s="132"/>
      <c r="AS17" s="133"/>
      <c r="AT17" s="124"/>
      <c r="AU17" s="125"/>
      <c r="AV17" s="136"/>
      <c r="AW17" s="137"/>
      <c r="AX17" s="137"/>
      <c r="AY17" s="137"/>
      <c r="AZ17" s="137"/>
      <c r="BA17" s="138"/>
      <c r="BB17" s="138"/>
      <c r="BC17" s="138"/>
      <c r="BD17" s="138"/>
      <c r="BE17" s="138"/>
      <c r="BF17" s="138"/>
      <c r="BG17" s="138"/>
      <c r="BH17" s="138"/>
    </row>
    <row r="18" spans="1:60" s="85" customFormat="1" ht="28" x14ac:dyDescent="0.3">
      <c r="A18" s="124">
        <v>1</v>
      </c>
      <c r="B18" s="124" t="s">
        <v>58</v>
      </c>
      <c r="C18" s="124" t="s">
        <v>36</v>
      </c>
      <c r="D18" s="124"/>
      <c r="E18" s="125" t="s">
        <v>54</v>
      </c>
      <c r="F18" s="124" t="s">
        <v>321</v>
      </c>
      <c r="G18" s="125" t="s">
        <v>79</v>
      </c>
      <c r="H18" s="125"/>
      <c r="I18" s="126" t="s">
        <v>92</v>
      </c>
      <c r="J18" s="127">
        <v>32818</v>
      </c>
      <c r="K18" s="124">
        <v>11</v>
      </c>
      <c r="L18" s="124" t="s">
        <v>346</v>
      </c>
      <c r="M18" s="126" t="s">
        <v>332</v>
      </c>
      <c r="N18" s="126" t="s">
        <v>332</v>
      </c>
      <c r="O18" s="128" t="s">
        <v>378</v>
      </c>
      <c r="P18" s="129" t="s">
        <v>379</v>
      </c>
      <c r="Q18" s="124" t="s">
        <v>397</v>
      </c>
      <c r="R18" s="124" t="s">
        <v>411</v>
      </c>
      <c r="S18" s="124" t="s">
        <v>412</v>
      </c>
      <c r="T18" s="124">
        <v>41272</v>
      </c>
      <c r="U18" s="124" t="s">
        <v>413</v>
      </c>
      <c r="V18" s="124">
        <v>42376</v>
      </c>
      <c r="W18" s="124"/>
      <c r="X18" s="124"/>
      <c r="Y18" s="124"/>
      <c r="Z18" s="130" t="s">
        <v>443</v>
      </c>
      <c r="AA18" s="131">
        <v>42647</v>
      </c>
      <c r="AB18" s="124" t="s">
        <v>428</v>
      </c>
      <c r="AC18" s="124" t="s">
        <v>429</v>
      </c>
      <c r="AD18" s="124">
        <v>3</v>
      </c>
      <c r="AE18" s="124" t="s">
        <v>465</v>
      </c>
      <c r="AF18" s="124" t="s">
        <v>478</v>
      </c>
      <c r="AG18" s="124" t="s">
        <v>314</v>
      </c>
      <c r="AH18" s="124" t="s">
        <v>314</v>
      </c>
      <c r="AI18" s="132">
        <v>39083</v>
      </c>
      <c r="AJ18" s="132">
        <v>39083</v>
      </c>
      <c r="AK18" s="133"/>
      <c r="AL18" s="134">
        <v>39143</v>
      </c>
      <c r="AM18" s="124" t="s">
        <v>479</v>
      </c>
      <c r="AN18" s="135" t="s">
        <v>481</v>
      </c>
      <c r="AO18" s="125"/>
      <c r="AP18" s="135"/>
      <c r="AQ18" s="135"/>
      <c r="AR18" s="132"/>
      <c r="AS18" s="133"/>
      <c r="AT18" s="124"/>
      <c r="AU18" s="125"/>
      <c r="AV18" s="136"/>
      <c r="AW18" s="137"/>
      <c r="AX18" s="137"/>
      <c r="AY18" s="137"/>
      <c r="AZ18" s="137"/>
      <c r="BA18" s="138"/>
      <c r="BB18" s="138"/>
      <c r="BC18" s="138"/>
      <c r="BD18" s="138"/>
      <c r="BE18" s="138"/>
      <c r="BF18" s="138"/>
      <c r="BG18" s="138"/>
      <c r="BH18" s="138"/>
    </row>
    <row r="19" spans="1:60" s="85" customFormat="1" ht="28" x14ac:dyDescent="0.3">
      <c r="A19" s="124">
        <v>1</v>
      </c>
      <c r="B19" s="124" t="s">
        <v>58</v>
      </c>
      <c r="C19" s="124" t="s">
        <v>35</v>
      </c>
      <c r="D19" s="124"/>
      <c r="E19" s="125" t="s">
        <v>4</v>
      </c>
      <c r="F19" s="124" t="s">
        <v>321</v>
      </c>
      <c r="G19" s="125" t="s">
        <v>79</v>
      </c>
      <c r="H19" s="125"/>
      <c r="I19" s="126" t="s">
        <v>93</v>
      </c>
      <c r="J19" s="127">
        <v>32530</v>
      </c>
      <c r="K19" s="124">
        <v>1</v>
      </c>
      <c r="L19" s="124" t="s">
        <v>325</v>
      </c>
      <c r="M19" s="126" t="s">
        <v>347</v>
      </c>
      <c r="N19" s="126" t="s">
        <v>332</v>
      </c>
      <c r="O19" s="128" t="s">
        <v>380</v>
      </c>
      <c r="P19" s="129" t="s">
        <v>381</v>
      </c>
      <c r="Q19" s="124" t="s">
        <v>397</v>
      </c>
      <c r="R19" s="124" t="s">
        <v>414</v>
      </c>
      <c r="S19" s="124" t="s">
        <v>415</v>
      </c>
      <c r="T19" s="124">
        <v>41593</v>
      </c>
      <c r="U19" s="124" t="s">
        <v>416</v>
      </c>
      <c r="V19" s="124">
        <v>42927</v>
      </c>
      <c r="W19" s="124"/>
      <c r="X19" s="124"/>
      <c r="Y19" s="124"/>
      <c r="Z19" s="130" t="s">
        <v>444</v>
      </c>
      <c r="AA19" s="131">
        <v>39789</v>
      </c>
      <c r="AB19" s="124" t="s">
        <v>428</v>
      </c>
      <c r="AC19" s="124">
        <v>8137077982</v>
      </c>
      <c r="AD19" s="124">
        <v>2</v>
      </c>
      <c r="AE19" s="124" t="s">
        <v>466</v>
      </c>
      <c r="AF19" s="124" t="s">
        <v>474</v>
      </c>
      <c r="AG19" s="124" t="s">
        <v>314</v>
      </c>
      <c r="AH19" s="124" t="s">
        <v>314</v>
      </c>
      <c r="AI19" s="132">
        <v>41866</v>
      </c>
      <c r="AJ19" s="132">
        <v>41866</v>
      </c>
      <c r="AK19" s="133"/>
      <c r="AL19" s="134">
        <v>41926</v>
      </c>
      <c r="AM19" s="124" t="s">
        <v>479</v>
      </c>
      <c r="AN19" s="135" t="s">
        <v>481</v>
      </c>
      <c r="AO19" s="125"/>
      <c r="AP19" s="135"/>
      <c r="AQ19" s="135"/>
      <c r="AR19" s="132"/>
      <c r="AS19" s="133"/>
      <c r="AT19" s="124"/>
      <c r="AU19" s="125"/>
      <c r="AV19" s="136"/>
      <c r="AW19" s="137"/>
      <c r="AX19" s="137"/>
      <c r="AY19" s="137"/>
      <c r="AZ19" s="137"/>
      <c r="BA19" s="138"/>
      <c r="BB19" s="138"/>
      <c r="BC19" s="138"/>
      <c r="BD19" s="138"/>
      <c r="BE19" s="138"/>
      <c r="BF19" s="138"/>
      <c r="BG19" s="138"/>
      <c r="BH19" s="138"/>
    </row>
    <row r="20" spans="1:60" s="85" customFormat="1" ht="28" x14ac:dyDescent="0.3">
      <c r="A20" s="124">
        <v>1</v>
      </c>
      <c r="B20" s="124" t="s">
        <v>58</v>
      </c>
      <c r="C20" s="124" t="s">
        <v>38</v>
      </c>
      <c r="D20" s="124"/>
      <c r="E20" s="125" t="s">
        <v>37</v>
      </c>
      <c r="F20" s="124" t="s">
        <v>321</v>
      </c>
      <c r="G20" s="125" t="s">
        <v>79</v>
      </c>
      <c r="H20" s="125"/>
      <c r="I20" s="126" t="s">
        <v>93</v>
      </c>
      <c r="J20" s="127">
        <v>35066</v>
      </c>
      <c r="K20" s="124">
        <v>1</v>
      </c>
      <c r="L20" s="124" t="s">
        <v>325</v>
      </c>
      <c r="M20" s="126" t="s">
        <v>347</v>
      </c>
      <c r="N20" s="126" t="s">
        <v>348</v>
      </c>
      <c r="O20" s="128" t="s">
        <v>382</v>
      </c>
      <c r="P20" s="129" t="s">
        <v>383</v>
      </c>
      <c r="Q20" s="124" t="s">
        <v>396</v>
      </c>
      <c r="R20" s="124"/>
      <c r="S20" s="124"/>
      <c r="T20" s="124"/>
      <c r="U20" s="124"/>
      <c r="V20" s="124"/>
      <c r="W20" s="124"/>
      <c r="X20" s="124"/>
      <c r="Y20" s="124"/>
      <c r="Z20" s="130" t="s">
        <v>445</v>
      </c>
      <c r="AA20" s="131">
        <v>41036</v>
      </c>
      <c r="AB20" s="124" t="s">
        <v>428</v>
      </c>
      <c r="AC20" s="124" t="s">
        <v>429</v>
      </c>
      <c r="AD20" s="124">
        <v>1</v>
      </c>
      <c r="AE20" s="124" t="s">
        <v>467</v>
      </c>
      <c r="AF20" s="124" t="s">
        <v>478</v>
      </c>
      <c r="AG20" s="124" t="s">
        <v>314</v>
      </c>
      <c r="AH20" s="124" t="s">
        <v>314</v>
      </c>
      <c r="AI20" s="132">
        <v>41939</v>
      </c>
      <c r="AJ20" s="132">
        <v>41939</v>
      </c>
      <c r="AK20" s="133"/>
      <c r="AL20" s="134">
        <v>41999</v>
      </c>
      <c r="AM20" s="124" t="s">
        <v>479</v>
      </c>
      <c r="AN20" s="135" t="s">
        <v>481</v>
      </c>
      <c r="AO20" s="125"/>
      <c r="AP20" s="135"/>
      <c r="AQ20" s="135"/>
      <c r="AR20" s="132"/>
      <c r="AS20" s="133"/>
      <c r="AT20" s="124"/>
      <c r="AU20" s="125"/>
      <c r="AV20" s="136"/>
      <c r="AW20" s="137"/>
      <c r="AX20" s="137"/>
      <c r="AY20" s="137"/>
      <c r="AZ20" s="137"/>
      <c r="BA20" s="138"/>
      <c r="BB20" s="138"/>
      <c r="BC20" s="138"/>
      <c r="BD20" s="138"/>
      <c r="BE20" s="138"/>
      <c r="BF20" s="138"/>
      <c r="BG20" s="138"/>
      <c r="BH20" s="138"/>
    </row>
    <row r="21" spans="1:60" s="85" customFormat="1" ht="28" x14ac:dyDescent="0.3">
      <c r="A21" s="124">
        <v>1</v>
      </c>
      <c r="B21" s="124" t="s">
        <v>58</v>
      </c>
      <c r="C21" s="124" t="s">
        <v>46</v>
      </c>
      <c r="D21" s="124"/>
      <c r="E21" s="125" t="s">
        <v>70</v>
      </c>
      <c r="F21" s="124" t="s">
        <v>321</v>
      </c>
      <c r="G21" s="125" t="s">
        <v>79</v>
      </c>
      <c r="H21" s="125"/>
      <c r="I21" s="126" t="s">
        <v>93</v>
      </c>
      <c r="J21" s="127" t="s">
        <v>323</v>
      </c>
      <c r="K21" s="124">
        <v>10</v>
      </c>
      <c r="L21" s="124" t="s">
        <v>349</v>
      </c>
      <c r="M21" s="126" t="s">
        <v>350</v>
      </c>
      <c r="N21" s="126" t="s">
        <v>351</v>
      </c>
      <c r="O21" s="128" t="s">
        <v>384</v>
      </c>
      <c r="P21" s="129" t="s">
        <v>385</v>
      </c>
      <c r="Q21" s="124" t="s">
        <v>417</v>
      </c>
      <c r="R21" s="124"/>
      <c r="S21" s="124" t="s">
        <v>418</v>
      </c>
      <c r="T21" s="124">
        <v>41857</v>
      </c>
      <c r="U21" s="124"/>
      <c r="V21" s="124"/>
      <c r="W21" s="124"/>
      <c r="X21" s="124"/>
      <c r="Y21" s="124"/>
      <c r="Z21" s="130" t="s">
        <v>446</v>
      </c>
      <c r="AA21" s="131">
        <v>40605</v>
      </c>
      <c r="AB21" s="124" t="s">
        <v>447</v>
      </c>
      <c r="AC21" s="124">
        <v>8137077983</v>
      </c>
      <c r="AD21" s="124">
        <v>2</v>
      </c>
      <c r="AE21" s="124" t="s">
        <v>468</v>
      </c>
      <c r="AF21" s="124" t="s">
        <v>478</v>
      </c>
      <c r="AG21" s="124" t="s">
        <v>314</v>
      </c>
      <c r="AH21" s="124" t="s">
        <v>314</v>
      </c>
      <c r="AI21" s="132">
        <v>43272</v>
      </c>
      <c r="AJ21" s="132">
        <v>43272</v>
      </c>
      <c r="AK21" s="133"/>
      <c r="AL21" s="134">
        <v>43332</v>
      </c>
      <c r="AM21" s="124" t="s">
        <v>479</v>
      </c>
      <c r="AN21" s="135" t="s">
        <v>481</v>
      </c>
      <c r="AO21" s="125"/>
      <c r="AP21" s="135"/>
      <c r="AQ21" s="135"/>
      <c r="AR21" s="132"/>
      <c r="AS21" s="133"/>
      <c r="AT21" s="124"/>
      <c r="AU21" s="125"/>
      <c r="AV21" s="136"/>
      <c r="AW21" s="137"/>
      <c r="AX21" s="137"/>
      <c r="AY21" s="137"/>
      <c r="AZ21" s="137"/>
      <c r="BA21" s="138"/>
      <c r="BB21" s="138"/>
      <c r="BC21" s="138"/>
      <c r="BD21" s="138"/>
      <c r="BE21" s="138"/>
      <c r="BF21" s="138"/>
      <c r="BG21" s="138"/>
      <c r="BH21" s="138"/>
    </row>
    <row r="22" spans="1:60" s="85" customFormat="1" ht="28" x14ac:dyDescent="0.3">
      <c r="A22" s="124">
        <v>1</v>
      </c>
      <c r="B22" s="124" t="s">
        <v>58</v>
      </c>
      <c r="C22" s="124" t="s">
        <v>77</v>
      </c>
      <c r="D22" s="124"/>
      <c r="E22" s="125" t="s">
        <v>78</v>
      </c>
      <c r="F22" s="124" t="s">
        <v>321</v>
      </c>
      <c r="G22" s="125" t="s">
        <v>79</v>
      </c>
      <c r="H22" s="125"/>
      <c r="I22" s="126" t="s">
        <v>93</v>
      </c>
      <c r="J22" s="127" t="s">
        <v>324</v>
      </c>
      <c r="K22" s="124">
        <v>1</v>
      </c>
      <c r="L22" s="124" t="s">
        <v>346</v>
      </c>
      <c r="M22" s="126" t="s">
        <v>332</v>
      </c>
      <c r="N22" s="126" t="s">
        <v>332</v>
      </c>
      <c r="O22" s="128" t="s">
        <v>386</v>
      </c>
      <c r="P22" s="129" t="s">
        <v>387</v>
      </c>
      <c r="Q22" s="124" t="s">
        <v>396</v>
      </c>
      <c r="R22" s="124"/>
      <c r="S22" s="124"/>
      <c r="T22" s="124"/>
      <c r="U22" s="124"/>
      <c r="V22" s="124"/>
      <c r="W22" s="124"/>
      <c r="X22" s="124"/>
      <c r="Y22" s="124"/>
      <c r="Z22" s="130" t="s">
        <v>448</v>
      </c>
      <c r="AA22" s="131">
        <v>40606</v>
      </c>
      <c r="AB22" s="124" t="s">
        <v>428</v>
      </c>
      <c r="AC22" s="124" t="s">
        <v>429</v>
      </c>
      <c r="AD22" s="124">
        <v>3</v>
      </c>
      <c r="AE22" s="124" t="s">
        <v>469</v>
      </c>
      <c r="AF22" s="124" t="s">
        <v>478</v>
      </c>
      <c r="AG22" s="124" t="s">
        <v>314</v>
      </c>
      <c r="AH22" s="124" t="s">
        <v>314</v>
      </c>
      <c r="AI22" s="132">
        <v>43456</v>
      </c>
      <c r="AJ22" s="132">
        <v>43456</v>
      </c>
      <c r="AK22" s="133"/>
      <c r="AL22" s="134">
        <v>43516</v>
      </c>
      <c r="AM22" s="124" t="s">
        <v>480</v>
      </c>
      <c r="AN22" s="135" t="s">
        <v>481</v>
      </c>
      <c r="AO22" s="125"/>
      <c r="AP22" s="135"/>
      <c r="AQ22" s="135"/>
      <c r="AR22" s="132"/>
      <c r="AS22" s="133"/>
      <c r="AT22" s="124"/>
      <c r="AU22" s="125"/>
      <c r="AV22" s="136"/>
      <c r="AW22" s="137"/>
      <c r="AX22" s="137"/>
      <c r="AY22" s="137"/>
      <c r="AZ22" s="137"/>
      <c r="BA22" s="138"/>
      <c r="BB22" s="138"/>
      <c r="BC22" s="138"/>
      <c r="BD22" s="138"/>
      <c r="BE22" s="138"/>
      <c r="BF22" s="138"/>
      <c r="BG22" s="138"/>
      <c r="BH22" s="138"/>
    </row>
    <row r="23" spans="1:60" s="85" customFormat="1" ht="28" x14ac:dyDescent="0.3">
      <c r="A23" s="124">
        <v>1</v>
      </c>
      <c r="B23" s="124" t="s">
        <v>58</v>
      </c>
      <c r="C23" s="124" t="s">
        <v>44</v>
      </c>
      <c r="D23" s="124"/>
      <c r="E23" s="125" t="s">
        <v>53</v>
      </c>
      <c r="F23" s="124" t="s">
        <v>321</v>
      </c>
      <c r="G23" s="125" t="s">
        <v>80</v>
      </c>
      <c r="H23" s="125"/>
      <c r="I23" s="126" t="s">
        <v>93</v>
      </c>
      <c r="J23" s="127">
        <v>29036</v>
      </c>
      <c r="K23" s="124">
        <v>6</v>
      </c>
      <c r="L23" s="124" t="s">
        <v>325</v>
      </c>
      <c r="M23" s="126" t="s">
        <v>326</v>
      </c>
      <c r="N23" s="126" t="s">
        <v>326</v>
      </c>
      <c r="O23" s="128" t="s">
        <v>388</v>
      </c>
      <c r="P23" s="129" t="s">
        <v>389</v>
      </c>
      <c r="Q23" s="124" t="s">
        <v>397</v>
      </c>
      <c r="R23" s="124" t="s">
        <v>419</v>
      </c>
      <c r="S23" s="124" t="s">
        <v>420</v>
      </c>
      <c r="T23" s="124">
        <v>37591</v>
      </c>
      <c r="U23" s="124" t="s">
        <v>421</v>
      </c>
      <c r="V23" s="124">
        <v>40496</v>
      </c>
      <c r="W23" s="124"/>
      <c r="X23" s="124"/>
      <c r="Y23" s="124"/>
      <c r="Z23" s="130" t="s">
        <v>449</v>
      </c>
      <c r="AA23" s="131">
        <v>41240</v>
      </c>
      <c r="AB23" s="124" t="s">
        <v>428</v>
      </c>
      <c r="AC23" s="124">
        <v>8137077984</v>
      </c>
      <c r="AD23" s="124">
        <v>0</v>
      </c>
      <c r="AE23" s="124" t="s">
        <v>470</v>
      </c>
      <c r="AF23" s="124" t="s">
        <v>476</v>
      </c>
      <c r="AG23" s="124" t="s">
        <v>314</v>
      </c>
      <c r="AH23" s="124" t="s">
        <v>314</v>
      </c>
      <c r="AI23" s="132">
        <v>39448</v>
      </c>
      <c r="AJ23" s="132">
        <v>39448</v>
      </c>
      <c r="AK23" s="133"/>
      <c r="AL23" s="134">
        <v>39508</v>
      </c>
      <c r="AM23" s="124" t="s">
        <v>479</v>
      </c>
      <c r="AN23" s="135" t="s">
        <v>481</v>
      </c>
      <c r="AO23" s="125"/>
      <c r="AP23" s="135"/>
      <c r="AQ23" s="135"/>
      <c r="AR23" s="132"/>
      <c r="AS23" s="133"/>
      <c r="AT23" s="124"/>
      <c r="AU23" s="125"/>
      <c r="AV23" s="136"/>
      <c r="AW23" s="137"/>
      <c r="AX23" s="137"/>
      <c r="AY23" s="137"/>
      <c r="AZ23" s="137"/>
      <c r="BA23" s="138"/>
      <c r="BB23" s="138"/>
      <c r="BC23" s="138"/>
      <c r="BD23" s="138"/>
      <c r="BE23" s="138"/>
      <c r="BF23" s="138"/>
      <c r="BG23" s="138"/>
      <c r="BH23" s="138"/>
    </row>
    <row r="24" spans="1:60" s="85" customFormat="1" ht="28" x14ac:dyDescent="0.3">
      <c r="A24" s="124">
        <v>1</v>
      </c>
      <c r="B24" s="124" t="s">
        <v>58</v>
      </c>
      <c r="C24" s="124" t="s">
        <v>39</v>
      </c>
      <c r="D24" s="124"/>
      <c r="E24" s="125" t="s">
        <v>50</v>
      </c>
      <c r="F24" s="124" t="s">
        <v>321</v>
      </c>
      <c r="G24" s="125" t="s">
        <v>80</v>
      </c>
      <c r="H24" s="125"/>
      <c r="I24" s="126" t="s">
        <v>92</v>
      </c>
      <c r="J24" s="127">
        <v>30883</v>
      </c>
      <c r="K24" s="124">
        <v>7</v>
      </c>
      <c r="L24" s="124" t="s">
        <v>352</v>
      </c>
      <c r="M24" s="126" t="s">
        <v>353</v>
      </c>
      <c r="N24" s="126" t="s">
        <v>354</v>
      </c>
      <c r="O24" s="128" t="s">
        <v>390</v>
      </c>
      <c r="P24" s="129" t="s">
        <v>391</v>
      </c>
      <c r="Q24" s="124" t="s">
        <v>396</v>
      </c>
      <c r="R24" s="124"/>
      <c r="S24" s="124"/>
      <c r="T24" s="124"/>
      <c r="U24" s="124"/>
      <c r="V24" s="124"/>
      <c r="W24" s="124"/>
      <c r="X24" s="124"/>
      <c r="Y24" s="124"/>
      <c r="Z24" s="130" t="s">
        <v>450</v>
      </c>
      <c r="AA24" s="131">
        <v>42501</v>
      </c>
      <c r="AB24" s="124" t="s">
        <v>451</v>
      </c>
      <c r="AC24" s="124" t="s">
        <v>429</v>
      </c>
      <c r="AD24" s="124">
        <v>4</v>
      </c>
      <c r="AE24" s="124" t="s">
        <v>471</v>
      </c>
      <c r="AF24" s="124" t="s">
        <v>478</v>
      </c>
      <c r="AG24" s="124" t="s">
        <v>314</v>
      </c>
      <c r="AH24" s="124" t="s">
        <v>314</v>
      </c>
      <c r="AI24" s="132">
        <v>40483</v>
      </c>
      <c r="AJ24" s="132">
        <v>40483</v>
      </c>
      <c r="AK24" s="133"/>
      <c r="AL24" s="134">
        <v>40543</v>
      </c>
      <c r="AM24" s="124" t="s">
        <v>479</v>
      </c>
      <c r="AN24" s="135" t="s">
        <v>481</v>
      </c>
      <c r="AO24" s="125"/>
      <c r="AP24" s="135"/>
      <c r="AQ24" s="135"/>
      <c r="AR24" s="132"/>
      <c r="AS24" s="133"/>
      <c r="AT24" s="124"/>
      <c r="AU24" s="125"/>
      <c r="AV24" s="136"/>
      <c r="AW24" s="137"/>
      <c r="AX24" s="137"/>
      <c r="AY24" s="137"/>
      <c r="AZ24" s="137"/>
      <c r="BA24" s="138"/>
      <c r="BB24" s="138"/>
      <c r="BC24" s="138"/>
      <c r="BD24" s="138"/>
      <c r="BE24" s="138"/>
      <c r="BF24" s="138"/>
      <c r="BG24" s="138"/>
      <c r="BH24" s="138"/>
    </row>
    <row r="25" spans="1:60" s="85" customFormat="1" ht="28" x14ac:dyDescent="0.3">
      <c r="A25" s="124">
        <v>1</v>
      </c>
      <c r="B25" s="124" t="s">
        <v>58</v>
      </c>
      <c r="C25" s="124" t="s">
        <v>34</v>
      </c>
      <c r="D25" s="124"/>
      <c r="E25" s="125" t="s">
        <v>9</v>
      </c>
      <c r="F25" s="124" t="s">
        <v>321</v>
      </c>
      <c r="G25" s="125" t="s">
        <v>80</v>
      </c>
      <c r="H25" s="125"/>
      <c r="I25" s="126" t="s">
        <v>94</v>
      </c>
      <c r="J25" s="127">
        <v>34223</v>
      </c>
      <c r="K25" s="124">
        <v>9</v>
      </c>
      <c r="L25" s="124" t="s">
        <v>325</v>
      </c>
      <c r="M25" s="126" t="s">
        <v>355</v>
      </c>
      <c r="N25" s="126" t="s">
        <v>355</v>
      </c>
      <c r="O25" s="128" t="s">
        <v>392</v>
      </c>
      <c r="P25" s="129" t="s">
        <v>393</v>
      </c>
      <c r="Q25" s="124" t="s">
        <v>397</v>
      </c>
      <c r="R25" s="124" t="s">
        <v>422</v>
      </c>
      <c r="S25" s="124" t="s">
        <v>423</v>
      </c>
      <c r="T25" s="124">
        <v>41695</v>
      </c>
      <c r="U25" s="124" t="s">
        <v>424</v>
      </c>
      <c r="V25" s="124">
        <v>42855</v>
      </c>
      <c r="W25" s="124"/>
      <c r="X25" s="124"/>
      <c r="Y25" s="124"/>
      <c r="Z25" s="130" t="s">
        <v>452</v>
      </c>
      <c r="AA25" s="131">
        <v>41074</v>
      </c>
      <c r="AB25" s="124" t="s">
        <v>428</v>
      </c>
      <c r="AC25" s="124">
        <v>8137077985</v>
      </c>
      <c r="AD25" s="124">
        <v>2</v>
      </c>
      <c r="AE25" s="124" t="s">
        <v>472</v>
      </c>
      <c r="AF25" s="124" t="s">
        <v>478</v>
      </c>
      <c r="AG25" s="124" t="s">
        <v>314</v>
      </c>
      <c r="AH25" s="124" t="s">
        <v>314</v>
      </c>
      <c r="AI25" s="132">
        <v>42591</v>
      </c>
      <c r="AJ25" s="132">
        <v>42591</v>
      </c>
      <c r="AK25" s="133"/>
      <c r="AL25" s="134">
        <v>42651</v>
      </c>
      <c r="AM25" s="124" t="s">
        <v>479</v>
      </c>
      <c r="AN25" s="135" t="s">
        <v>481</v>
      </c>
      <c r="AO25" s="125"/>
      <c r="AP25" s="135"/>
      <c r="AQ25" s="135"/>
      <c r="AR25" s="132"/>
      <c r="AS25" s="133"/>
      <c r="AT25" s="124"/>
      <c r="AU25" s="125"/>
      <c r="AV25" s="136"/>
      <c r="AW25" s="137"/>
      <c r="AX25" s="137"/>
      <c r="AY25" s="137"/>
      <c r="AZ25" s="137"/>
      <c r="BA25" s="138"/>
      <c r="BB25" s="138"/>
      <c r="BC25" s="138"/>
      <c r="BD25" s="138"/>
      <c r="BE25" s="138"/>
      <c r="BF25" s="138"/>
      <c r="BG25" s="138"/>
      <c r="BH25" s="138"/>
    </row>
    <row r="26" spans="1:60" s="85" customFormat="1" ht="28" x14ac:dyDescent="0.3">
      <c r="A26" s="124">
        <v>1</v>
      </c>
      <c r="B26" s="124" t="s">
        <v>58</v>
      </c>
      <c r="C26" s="124" t="s">
        <v>49</v>
      </c>
      <c r="D26" s="124"/>
      <c r="E26" s="125" t="s">
        <v>67</v>
      </c>
      <c r="F26" s="124" t="s">
        <v>321</v>
      </c>
      <c r="G26" s="125" t="s">
        <v>80</v>
      </c>
      <c r="H26" s="125"/>
      <c r="I26" s="126" t="s">
        <v>93</v>
      </c>
      <c r="J26" s="127">
        <v>32851</v>
      </c>
      <c r="K26" s="124">
        <v>12</v>
      </c>
      <c r="L26" s="124" t="s">
        <v>325</v>
      </c>
      <c r="M26" s="126" t="s">
        <v>340</v>
      </c>
      <c r="N26" s="126" t="s">
        <v>340</v>
      </c>
      <c r="O26" s="128" t="s">
        <v>394</v>
      </c>
      <c r="P26" s="129" t="s">
        <v>395</v>
      </c>
      <c r="Q26" s="124" t="s">
        <v>397</v>
      </c>
      <c r="R26" s="124" t="s">
        <v>425</v>
      </c>
      <c r="S26" s="124" t="s">
        <v>426</v>
      </c>
      <c r="T26" s="124">
        <v>42394</v>
      </c>
      <c r="U26" s="124"/>
      <c r="V26" s="124"/>
      <c r="W26" s="124"/>
      <c r="X26" s="124"/>
      <c r="Y26" s="124"/>
      <c r="Z26" s="130" t="s">
        <v>453</v>
      </c>
      <c r="AA26" s="131">
        <v>42853</v>
      </c>
      <c r="AB26" s="124" t="s">
        <v>428</v>
      </c>
      <c r="AC26" s="124" t="s">
        <v>429</v>
      </c>
      <c r="AD26" s="124">
        <v>1</v>
      </c>
      <c r="AE26" s="124" t="s">
        <v>473</v>
      </c>
      <c r="AF26" s="124" t="s">
        <v>475</v>
      </c>
      <c r="AG26" s="124" t="s">
        <v>314</v>
      </c>
      <c r="AH26" s="124" t="s">
        <v>314</v>
      </c>
      <c r="AI26" s="132">
        <v>42956</v>
      </c>
      <c r="AJ26" s="132">
        <v>42956</v>
      </c>
      <c r="AK26" s="133"/>
      <c r="AL26" s="134">
        <v>43016</v>
      </c>
      <c r="AM26" s="124" t="s">
        <v>479</v>
      </c>
      <c r="AN26" s="135" t="s">
        <v>481</v>
      </c>
      <c r="AO26" s="125"/>
      <c r="AP26" s="135"/>
      <c r="AQ26" s="135"/>
      <c r="AR26" s="132"/>
      <c r="AS26" s="133"/>
      <c r="AT26" s="124"/>
      <c r="AU26" s="125"/>
      <c r="AV26" s="136"/>
      <c r="AW26" s="137"/>
      <c r="AX26" s="137"/>
      <c r="AY26" s="137"/>
      <c r="AZ26" s="137"/>
      <c r="BA26" s="138"/>
      <c r="BB26" s="138"/>
      <c r="BC26" s="138"/>
      <c r="BD26" s="138"/>
      <c r="BE26" s="138"/>
      <c r="BF26" s="138"/>
      <c r="BG26" s="138"/>
      <c r="BH26" s="138"/>
    </row>
    <row r="27" spans="1:60" s="85" customFormat="1" ht="14" x14ac:dyDescent="0.3">
      <c r="A27" s="124"/>
      <c r="B27" s="124"/>
      <c r="C27" s="124"/>
      <c r="D27" s="124"/>
      <c r="E27" s="125"/>
      <c r="F27" s="124"/>
      <c r="G27" s="125"/>
      <c r="H27" s="125"/>
      <c r="I27" s="126"/>
      <c r="J27" s="127"/>
      <c r="K27" s="124"/>
      <c r="L27" s="124"/>
      <c r="M27" s="126"/>
      <c r="N27" s="126"/>
      <c r="O27" s="128"/>
      <c r="P27" s="129"/>
      <c r="Q27" s="124"/>
      <c r="R27" s="124"/>
      <c r="S27" s="124"/>
      <c r="T27" s="124"/>
      <c r="U27" s="124"/>
      <c r="V27" s="124"/>
      <c r="W27" s="124"/>
      <c r="X27" s="124"/>
      <c r="Y27" s="124"/>
      <c r="Z27" s="130"/>
      <c r="AA27" s="131"/>
      <c r="AB27" s="124"/>
      <c r="AC27" s="124"/>
      <c r="AD27" s="124"/>
      <c r="AE27" s="124"/>
      <c r="AF27" s="124"/>
      <c r="AG27" s="124"/>
      <c r="AH27" s="139"/>
      <c r="AI27" s="132"/>
      <c r="AJ27" s="133"/>
      <c r="AK27" s="133"/>
      <c r="AL27" s="134"/>
      <c r="AM27" s="124"/>
      <c r="AN27" s="135"/>
      <c r="AO27" s="125"/>
      <c r="AP27" s="135"/>
      <c r="AQ27" s="135"/>
      <c r="AR27" s="132"/>
      <c r="AS27" s="133"/>
      <c r="AT27" s="124"/>
      <c r="AU27" s="125"/>
      <c r="AV27" s="136"/>
      <c r="AW27" s="137"/>
      <c r="AX27" s="137"/>
      <c r="AY27" s="137"/>
      <c r="AZ27" s="137"/>
      <c r="BA27" s="138"/>
      <c r="BB27" s="138"/>
      <c r="BC27" s="138"/>
      <c r="BD27" s="138"/>
      <c r="BE27" s="138"/>
      <c r="BF27" s="138"/>
      <c r="BG27" s="138"/>
      <c r="BH27" s="138"/>
    </row>
    <row r="28" spans="1:60" s="85" customFormat="1" ht="14" x14ac:dyDescent="0.3">
      <c r="A28" s="124"/>
      <c r="B28" s="124"/>
      <c r="C28" s="124"/>
      <c r="D28" s="124"/>
      <c r="E28" s="125"/>
      <c r="F28" s="124"/>
      <c r="G28" s="125"/>
      <c r="H28" s="125"/>
      <c r="I28" s="126"/>
      <c r="J28" s="127"/>
      <c r="K28" s="124"/>
      <c r="L28" s="124"/>
      <c r="M28" s="126"/>
      <c r="N28" s="126"/>
      <c r="O28" s="128"/>
      <c r="P28" s="129"/>
      <c r="Q28" s="124"/>
      <c r="R28" s="124"/>
      <c r="S28" s="124"/>
      <c r="T28" s="124"/>
      <c r="U28" s="124"/>
      <c r="V28" s="124"/>
      <c r="W28" s="124"/>
      <c r="X28" s="124"/>
      <c r="Y28" s="124"/>
      <c r="Z28" s="130"/>
      <c r="AA28" s="131"/>
      <c r="AB28" s="124"/>
      <c r="AC28" s="124"/>
      <c r="AD28" s="124"/>
      <c r="AE28" s="124"/>
      <c r="AF28" s="124"/>
      <c r="AG28" s="124"/>
      <c r="AH28" s="139"/>
      <c r="AI28" s="132"/>
      <c r="AJ28" s="133"/>
      <c r="AK28" s="133"/>
      <c r="AL28" s="134"/>
      <c r="AM28" s="124"/>
      <c r="AN28" s="135"/>
      <c r="AO28" s="125"/>
      <c r="AP28" s="135"/>
      <c r="AQ28" s="135"/>
      <c r="AR28" s="132"/>
      <c r="AS28" s="133"/>
      <c r="AT28" s="124"/>
      <c r="AU28" s="125"/>
      <c r="AV28" s="136"/>
      <c r="AW28" s="137"/>
      <c r="AX28" s="137"/>
      <c r="AY28" s="137"/>
      <c r="AZ28" s="137"/>
      <c r="BA28" s="138"/>
      <c r="BB28" s="138"/>
      <c r="BC28" s="138"/>
      <c r="BD28" s="138"/>
      <c r="BE28" s="138"/>
      <c r="BF28" s="138"/>
      <c r="BG28" s="138"/>
      <c r="BH28" s="138"/>
    </row>
    <row r="29" spans="1:60" s="85" customFormat="1" ht="14" x14ac:dyDescent="0.3">
      <c r="A29" s="124"/>
      <c r="B29" s="124"/>
      <c r="C29" s="124"/>
      <c r="D29" s="124"/>
      <c r="E29" s="125"/>
      <c r="F29" s="124"/>
      <c r="G29" s="125"/>
      <c r="H29" s="125"/>
      <c r="I29" s="126"/>
      <c r="J29" s="127"/>
      <c r="K29" s="124"/>
      <c r="L29" s="124"/>
      <c r="M29" s="126"/>
      <c r="N29" s="126"/>
      <c r="O29" s="128"/>
      <c r="P29" s="129"/>
      <c r="Q29" s="124"/>
      <c r="R29" s="124"/>
      <c r="S29" s="124"/>
      <c r="T29" s="124"/>
      <c r="U29" s="124"/>
      <c r="V29" s="124"/>
      <c r="W29" s="124"/>
      <c r="X29" s="124"/>
      <c r="Y29" s="124"/>
      <c r="Z29" s="130"/>
      <c r="AA29" s="131"/>
      <c r="AB29" s="124"/>
      <c r="AC29" s="124"/>
      <c r="AD29" s="124"/>
      <c r="AE29" s="124"/>
      <c r="AF29" s="124"/>
      <c r="AG29" s="124"/>
      <c r="AH29" s="139"/>
      <c r="AI29" s="132"/>
      <c r="AJ29" s="133"/>
      <c r="AK29" s="133"/>
      <c r="AL29" s="134"/>
      <c r="AM29" s="124"/>
      <c r="AN29" s="135"/>
      <c r="AO29" s="125"/>
      <c r="AP29" s="135"/>
      <c r="AQ29" s="135"/>
      <c r="AR29" s="132"/>
      <c r="AS29" s="133"/>
      <c r="AT29" s="124"/>
      <c r="AU29" s="125"/>
      <c r="AV29" s="136"/>
      <c r="AW29" s="137"/>
      <c r="AX29" s="137"/>
      <c r="AY29" s="137"/>
      <c r="AZ29" s="137"/>
      <c r="BA29" s="138"/>
      <c r="BB29" s="138"/>
      <c r="BC29" s="138"/>
      <c r="BD29" s="138"/>
      <c r="BE29" s="138"/>
      <c r="BF29" s="138"/>
      <c r="BG29" s="138"/>
      <c r="BH29" s="138"/>
    </row>
    <row r="30" spans="1:60" s="85" customFormat="1" ht="14" x14ac:dyDescent="0.3">
      <c r="A30" s="124"/>
      <c r="B30" s="124"/>
      <c r="C30" s="124"/>
      <c r="D30" s="124"/>
      <c r="E30" s="125"/>
      <c r="F30" s="124"/>
      <c r="G30" s="125"/>
      <c r="H30" s="125"/>
      <c r="I30" s="126"/>
      <c r="J30" s="127"/>
      <c r="K30" s="124"/>
      <c r="L30" s="124"/>
      <c r="M30" s="126"/>
      <c r="N30" s="126"/>
      <c r="O30" s="128"/>
      <c r="P30" s="129"/>
      <c r="Q30" s="124"/>
      <c r="R30" s="124"/>
      <c r="S30" s="124"/>
      <c r="T30" s="124"/>
      <c r="U30" s="124"/>
      <c r="V30" s="124"/>
      <c r="W30" s="124"/>
      <c r="X30" s="124"/>
      <c r="Y30" s="124"/>
      <c r="Z30" s="130"/>
      <c r="AA30" s="131"/>
      <c r="AB30" s="124"/>
      <c r="AC30" s="124"/>
      <c r="AD30" s="124"/>
      <c r="AE30" s="124"/>
      <c r="AF30" s="124"/>
      <c r="AG30" s="124"/>
      <c r="AH30" s="139"/>
      <c r="AI30" s="132"/>
      <c r="AJ30" s="133"/>
      <c r="AK30" s="133"/>
      <c r="AL30" s="134"/>
      <c r="AM30" s="124"/>
      <c r="AN30" s="135"/>
      <c r="AO30" s="125"/>
      <c r="AP30" s="135"/>
      <c r="AQ30" s="135"/>
      <c r="AR30" s="132"/>
      <c r="AS30" s="133"/>
      <c r="AT30" s="124"/>
      <c r="AU30" s="125"/>
      <c r="AV30" s="136"/>
      <c r="AW30" s="137"/>
      <c r="AX30" s="137"/>
      <c r="AY30" s="137"/>
      <c r="AZ30" s="137"/>
      <c r="BA30" s="138"/>
      <c r="BB30" s="138"/>
      <c r="BC30" s="138"/>
      <c r="BD30" s="138"/>
      <c r="BE30" s="138"/>
      <c r="BF30" s="138"/>
      <c r="BG30" s="138"/>
      <c r="BH30" s="138"/>
    </row>
    <row r="31" spans="1:60" s="85" customFormat="1" ht="14" x14ac:dyDescent="0.3">
      <c r="A31" s="124"/>
      <c r="B31" s="124"/>
      <c r="C31" s="124"/>
      <c r="D31" s="124"/>
      <c r="E31" s="125"/>
      <c r="F31" s="124"/>
      <c r="G31" s="125"/>
      <c r="H31" s="125"/>
      <c r="I31" s="126"/>
      <c r="J31" s="127"/>
      <c r="K31" s="124"/>
      <c r="L31" s="124"/>
      <c r="M31" s="126"/>
      <c r="N31" s="126"/>
      <c r="O31" s="128"/>
      <c r="P31" s="129"/>
      <c r="Q31" s="124"/>
      <c r="R31" s="124"/>
      <c r="S31" s="124"/>
      <c r="T31" s="124"/>
      <c r="U31" s="124"/>
      <c r="V31" s="124"/>
      <c r="W31" s="124"/>
      <c r="X31" s="124"/>
      <c r="Y31" s="124"/>
      <c r="Z31" s="130"/>
      <c r="AA31" s="131"/>
      <c r="AB31" s="124"/>
      <c r="AC31" s="124"/>
      <c r="AD31" s="124"/>
      <c r="AE31" s="124"/>
      <c r="AF31" s="124"/>
      <c r="AG31" s="124"/>
      <c r="AH31" s="139"/>
      <c r="AI31" s="132"/>
      <c r="AJ31" s="133"/>
      <c r="AK31" s="133"/>
      <c r="AL31" s="134"/>
      <c r="AM31" s="124"/>
      <c r="AN31" s="135"/>
      <c r="AO31" s="125"/>
      <c r="AP31" s="135"/>
      <c r="AQ31" s="135"/>
      <c r="AR31" s="132"/>
      <c r="AS31" s="133"/>
      <c r="AT31" s="124"/>
      <c r="AU31" s="125"/>
      <c r="AV31" s="136"/>
      <c r="AW31" s="137"/>
      <c r="AX31" s="137"/>
      <c r="AY31" s="137"/>
      <c r="AZ31" s="137"/>
      <c r="BA31" s="138"/>
      <c r="BB31" s="138"/>
      <c r="BC31" s="138"/>
      <c r="BD31" s="138"/>
      <c r="BE31" s="138"/>
      <c r="BF31" s="138"/>
      <c r="BG31" s="138"/>
      <c r="BH31" s="138"/>
    </row>
    <row r="32" spans="1:60" s="85" customFormat="1" ht="14" x14ac:dyDescent="0.3">
      <c r="A32" s="124"/>
      <c r="B32" s="124"/>
      <c r="C32" s="124"/>
      <c r="D32" s="124"/>
      <c r="E32" s="125"/>
      <c r="F32" s="124"/>
      <c r="G32" s="125"/>
      <c r="H32" s="125"/>
      <c r="I32" s="126"/>
      <c r="J32" s="127"/>
      <c r="K32" s="124"/>
      <c r="L32" s="124"/>
      <c r="M32" s="126"/>
      <c r="N32" s="126"/>
      <c r="O32" s="128"/>
      <c r="P32" s="129"/>
      <c r="Q32" s="124"/>
      <c r="R32" s="124"/>
      <c r="S32" s="124"/>
      <c r="T32" s="124"/>
      <c r="U32" s="124"/>
      <c r="V32" s="124"/>
      <c r="W32" s="124"/>
      <c r="X32" s="124"/>
      <c r="Y32" s="124"/>
      <c r="Z32" s="130"/>
      <c r="AA32" s="131"/>
      <c r="AB32" s="124"/>
      <c r="AC32" s="124"/>
      <c r="AD32" s="124"/>
      <c r="AE32" s="124"/>
      <c r="AF32" s="124"/>
      <c r="AG32" s="124"/>
      <c r="AH32" s="139"/>
      <c r="AI32" s="132"/>
      <c r="AJ32" s="133"/>
      <c r="AK32" s="133"/>
      <c r="AL32" s="134"/>
      <c r="AM32" s="124"/>
      <c r="AN32" s="135"/>
      <c r="AO32" s="125"/>
      <c r="AP32" s="135"/>
      <c r="AQ32" s="135"/>
      <c r="AR32" s="132"/>
      <c r="AS32" s="133"/>
      <c r="AT32" s="124"/>
      <c r="AU32" s="125"/>
      <c r="AV32" s="136"/>
      <c r="AW32" s="137"/>
      <c r="AX32" s="137"/>
      <c r="AY32" s="137"/>
      <c r="AZ32" s="137"/>
      <c r="BA32" s="138"/>
      <c r="BB32" s="138"/>
      <c r="BC32" s="138"/>
      <c r="BD32" s="138"/>
      <c r="BE32" s="138"/>
      <c r="BF32" s="138"/>
      <c r="BG32" s="138"/>
      <c r="BH32" s="1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HDSD</vt:lpstr>
      <vt:lpstr>Cách suy nghĩ 2</vt:lpstr>
      <vt:lpstr>DBoard</vt:lpstr>
      <vt:lpstr>DB's Data</vt:lpstr>
      <vt:lpstr>Phép 2020</vt:lpstr>
      <vt:lpstr>Data DSNV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Tú Đàm</cp:lastModifiedBy>
  <dcterms:created xsi:type="dcterms:W3CDTF">2011-01-14T02:47:48Z</dcterms:created>
  <dcterms:modified xsi:type="dcterms:W3CDTF">2020-09-11T16:24:42Z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148dcbf4-751a-4891-89d3-17d2dd1b0039</vt:lpwstr>
  </property>
</Properties>
</file>